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RFASERVER1\RFA Shared Folders\Projects\Charter Cost Study\Data &amp; Literature\Stage Two - Complete\"/>
    </mc:Choice>
  </mc:AlternateContent>
  <bookViews>
    <workbookView xWindow="0" yWindow="0" windowWidth="19200" windowHeight="6765" tabRatio="682" activeTab="3"/>
  </bookViews>
  <sheets>
    <sheet name="Instructions" sheetId="1" r:id="rId1"/>
    <sheet name="Projection Setting" sheetId="9" r:id="rId2"/>
    <sheet name="Enrollment &amp; Staffing" sheetId="3" r:id="rId3"/>
    <sheet name="Expenditure" sheetId="5" r:id="rId4"/>
    <sheet name="Cost Drivers" sheetId="4" state="hidden" r:id="rId5"/>
    <sheet name="Results Summary" sheetId="10" r:id="rId6"/>
    <sheet name="Expenditure Data Entry" sheetId="2" state="hidden" r:id="rId7"/>
    <sheet name="Terms and Notes" sheetId="6" r:id="rId8"/>
    <sheet name="Methodology" sheetId="7" state="hidden" r:id="rId9"/>
  </sheets>
  <definedNames>
    <definedName name="_xlnm._FilterDatabase" localSheetId="3" hidden="1">Expenditure!$C$18:$AI$168</definedName>
    <definedName name="Z_243EEA98_E2F9_4DAE_A7D1_6A008E515787_.wvu.Cols" localSheetId="3" hidden="1">Expenditure!$J:$J</definedName>
    <definedName name="Z_243EEA98_E2F9_4DAE_A7D1_6A008E515787_.wvu.FilterData" localSheetId="3" hidden="1">Expenditure!$B$3:$V$3</definedName>
  </definedNames>
  <calcPr calcId="152511"/>
  <customWorkbookViews>
    <customWorkbookView name="District Enrollment Only" guid="{B4B2789E-A92B-47A1-806A-E79E8613D3F5}" includeHiddenRowCol="0" maximized="1" xWindow="-8" yWindow="-8" windowWidth="1616" windowHeight="876" activeSheetId="3"/>
    <customWorkbookView name="All Columns" guid="{243EEA98-E2F9-4DAE-A7D1-6A008E515787}" maximized="1" xWindow="-8" yWindow="-8" windowWidth="1616" windowHeight="87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72" i="3" l="1"/>
  <c r="D72" i="3" l="1"/>
  <c r="D71" i="3"/>
  <c r="D70" i="3"/>
  <c r="D69" i="3"/>
  <c r="D68" i="3"/>
  <c r="G112" i="5"/>
  <c r="E63" i="3" l="1"/>
  <c r="E62" i="3"/>
  <c r="E61" i="3"/>
  <c r="G163" i="5" l="1"/>
  <c r="G157" i="5"/>
  <c r="G151" i="5"/>
  <c r="G145" i="5"/>
  <c r="G135" i="5"/>
  <c r="G89" i="5"/>
  <c r="G66" i="5"/>
  <c r="G20" i="5"/>
  <c r="G136" i="5"/>
  <c r="G128" i="5"/>
  <c r="G118" i="5"/>
  <c r="G113" i="5"/>
  <c r="G105" i="5"/>
  <c r="G95" i="5"/>
  <c r="G90" i="5"/>
  <c r="G82" i="5"/>
  <c r="G72" i="5"/>
  <c r="G67" i="5"/>
  <c r="G59" i="5"/>
  <c r="G49" i="5"/>
  <c r="G44" i="5"/>
  <c r="G36" i="5"/>
  <c r="G26" i="5"/>
  <c r="G21" i="5"/>
  <c r="G19" i="5"/>
  <c r="G43" i="5" l="1"/>
  <c r="C3" i="10" l="1"/>
  <c r="AH6" i="3" l="1"/>
  <c r="AB6" i="3"/>
  <c r="V6" i="3"/>
  <c r="P6" i="3"/>
  <c r="L10" i="9" l="1" a="1"/>
  <c r="L10" i="9" s="1"/>
  <c r="AQ168" i="5" l="1"/>
  <c r="AN168" i="5"/>
  <c r="AQ167" i="5"/>
  <c r="AN167" i="5"/>
  <c r="AQ166" i="5"/>
  <c r="AN166" i="5"/>
  <c r="AQ165" i="5"/>
  <c r="AN165" i="5"/>
  <c r="AQ164" i="5"/>
  <c r="AN164" i="5"/>
  <c r="AQ162" i="5"/>
  <c r="AN162" i="5"/>
  <c r="AQ161" i="5"/>
  <c r="AN161" i="5"/>
  <c r="AQ156" i="5"/>
  <c r="AN156" i="5"/>
  <c r="AQ155" i="5"/>
  <c r="AN155" i="5"/>
  <c r="AQ150" i="5"/>
  <c r="AN150" i="5"/>
  <c r="AQ149" i="5"/>
  <c r="AN149" i="5"/>
  <c r="AQ144" i="5"/>
  <c r="AN144" i="5"/>
  <c r="AQ143" i="5"/>
  <c r="AN143" i="5"/>
  <c r="AQ142" i="5"/>
  <c r="AN142" i="5"/>
  <c r="AQ141" i="5"/>
  <c r="AN141" i="5"/>
  <c r="AQ140" i="5"/>
  <c r="AN140" i="5"/>
  <c r="AQ139" i="5"/>
  <c r="AN139" i="5"/>
  <c r="AQ134" i="5"/>
  <c r="AN134" i="5"/>
  <c r="AQ133" i="5"/>
  <c r="AN133" i="5"/>
  <c r="AQ132" i="5"/>
  <c r="AN132" i="5"/>
  <c r="AQ111" i="5"/>
  <c r="AN111" i="5"/>
  <c r="AQ110" i="5"/>
  <c r="AN110" i="5"/>
  <c r="AQ88" i="5"/>
  <c r="AN88" i="5"/>
  <c r="AQ87" i="5"/>
  <c r="AN87" i="5"/>
  <c r="AQ86" i="5"/>
  <c r="AN86" i="5"/>
  <c r="AQ85" i="5"/>
  <c r="AN85" i="5"/>
  <c r="AQ65" i="5"/>
  <c r="AN65" i="5"/>
  <c r="AQ64" i="5"/>
  <c r="AN64" i="5"/>
  <c r="AQ42" i="5"/>
  <c r="AN42" i="5"/>
  <c r="AQ41" i="5"/>
  <c r="AN41" i="5"/>
  <c r="AQ40" i="5"/>
  <c r="AN40" i="5"/>
  <c r="T28" i="4"/>
  <c r="P28" i="4"/>
  <c r="L28" i="4"/>
  <c r="H28" i="4"/>
  <c r="D28" i="4"/>
  <c r="V61" i="4"/>
  <c r="AQ81" i="5" s="1"/>
  <c r="B61" i="4"/>
  <c r="B60" i="4"/>
  <c r="R59" i="4"/>
  <c r="P59" i="4"/>
  <c r="N59" i="4"/>
  <c r="L59" i="4"/>
  <c r="J59" i="4"/>
  <c r="H59" i="4"/>
  <c r="F59" i="4"/>
  <c r="D59" i="4"/>
  <c r="B59" i="4"/>
  <c r="B58" i="4"/>
  <c r="T57" i="4"/>
  <c r="AN69" i="5" s="1"/>
  <c r="B57" i="4"/>
  <c r="P56" i="4"/>
  <c r="L56" i="4"/>
  <c r="H56" i="4"/>
  <c r="F56" i="4"/>
  <c r="D56" i="4"/>
  <c r="B56" i="4"/>
  <c r="B54" i="4"/>
  <c r="B53" i="4"/>
  <c r="B52" i="4"/>
  <c r="B51" i="4"/>
  <c r="B50" i="4"/>
  <c r="B48" i="4"/>
  <c r="B47" i="4"/>
  <c r="B46" i="4"/>
  <c r="B45" i="4"/>
  <c r="B44" i="4"/>
  <c r="B42" i="4"/>
  <c r="P41" i="4"/>
  <c r="L41" i="4"/>
  <c r="H41" i="4"/>
  <c r="F41" i="4"/>
  <c r="D41" i="4"/>
  <c r="B41" i="4"/>
  <c r="P40" i="4"/>
  <c r="L40" i="4"/>
  <c r="H40" i="4"/>
  <c r="F40" i="4"/>
  <c r="D40" i="4"/>
  <c r="B40" i="4"/>
  <c r="B38" i="4"/>
  <c r="R37" i="4"/>
  <c r="P37" i="4"/>
  <c r="N37" i="4"/>
  <c r="L37" i="4"/>
  <c r="J37" i="4"/>
  <c r="H37" i="4"/>
  <c r="F37" i="4"/>
  <c r="D37" i="4"/>
  <c r="B37" i="4"/>
  <c r="P34" i="4"/>
  <c r="L34" i="4"/>
  <c r="H34" i="4"/>
  <c r="F34" i="4"/>
  <c r="D34" i="4"/>
  <c r="P33" i="4"/>
  <c r="L33" i="4"/>
  <c r="H33" i="4"/>
  <c r="F33" i="4"/>
  <c r="D33" i="4"/>
  <c r="R32" i="4"/>
  <c r="P32" i="4"/>
  <c r="L32" i="4"/>
  <c r="H32" i="4"/>
  <c r="F32" i="4"/>
  <c r="D32" i="4"/>
  <c r="T30" i="4"/>
  <c r="R30" i="4"/>
  <c r="P30" i="4"/>
  <c r="N30" i="4"/>
  <c r="L30" i="4"/>
  <c r="J30" i="4"/>
  <c r="H30" i="4"/>
  <c r="F30" i="4"/>
  <c r="D30" i="4"/>
  <c r="B30" i="4"/>
  <c r="D29" i="4"/>
  <c r="T21" i="4"/>
  <c r="AN63" i="5" s="1"/>
  <c r="P21" i="4"/>
  <c r="L21" i="4"/>
  <c r="H21" i="4"/>
  <c r="D21" i="4"/>
  <c r="B21" i="4"/>
  <c r="T20" i="4"/>
  <c r="P20" i="4"/>
  <c r="L20" i="4"/>
  <c r="H20" i="4"/>
  <c r="D20" i="4"/>
  <c r="B20" i="4"/>
  <c r="T19" i="4"/>
  <c r="P19" i="4"/>
  <c r="L19" i="4"/>
  <c r="H19" i="4"/>
  <c r="D19" i="4"/>
  <c r="B19" i="4"/>
  <c r="T18" i="4"/>
  <c r="P18" i="4"/>
  <c r="L18" i="4"/>
  <c r="H18" i="4"/>
  <c r="D18" i="4"/>
  <c r="B18" i="4"/>
  <c r="J94" i="3"/>
  <c r="J90" i="3"/>
  <c r="V57" i="4" s="1"/>
  <c r="J89" i="3" a="1"/>
  <c r="J93" i="3" s="1"/>
  <c r="V60" i="4" s="1"/>
  <c r="F94" i="3"/>
  <c r="T61" i="4" s="1"/>
  <c r="AN81" i="5" s="1"/>
  <c r="F90" i="3"/>
  <c r="F89" i="3" a="1"/>
  <c r="F93" i="3" s="1"/>
  <c r="T60" i="4" s="1"/>
  <c r="J72" i="3"/>
  <c r="V42" i="4" s="1"/>
  <c r="J70" i="3"/>
  <c r="V40" i="4" s="1"/>
  <c r="J69" i="3"/>
  <c r="V38" i="4" s="1"/>
  <c r="J68" i="3"/>
  <c r="V37" i="4" s="1"/>
  <c r="J68" i="3" a="1"/>
  <c r="J71" i="3" s="1"/>
  <c r="V41" i="4" s="1"/>
  <c r="F69" i="3"/>
  <c r="T38" i="4" s="1"/>
  <c r="AN39" i="5" s="1"/>
  <c r="F68" i="3" a="1"/>
  <c r="F72" i="3" s="1"/>
  <c r="T42" i="4" s="1"/>
  <c r="J59" i="3"/>
  <c r="V30" i="4" s="1"/>
  <c r="F59" i="3"/>
  <c r="S40" i="9"/>
  <c r="R40" i="9"/>
  <c r="Q40" i="9"/>
  <c r="P40" i="9"/>
  <c r="O40" i="9"/>
  <c r="N40" i="9"/>
  <c r="S39" i="9"/>
  <c r="R39" i="9"/>
  <c r="Q39" i="9"/>
  <c r="P39" i="9"/>
  <c r="O39" i="9"/>
  <c r="N39" i="9"/>
  <c r="S38" i="9"/>
  <c r="R38" i="9"/>
  <c r="Q38" i="9"/>
  <c r="P38" i="9"/>
  <c r="O38" i="9"/>
  <c r="N38" i="9"/>
  <c r="S37" i="9"/>
  <c r="R37" i="9"/>
  <c r="Q37" i="9"/>
  <c r="P37" i="9"/>
  <c r="O37" i="9"/>
  <c r="N37" i="9"/>
  <c r="S36" i="9"/>
  <c r="R36" i="9"/>
  <c r="Q36" i="9"/>
  <c r="P36" i="9"/>
  <c r="O36" i="9"/>
  <c r="N36" i="9"/>
  <c r="S35" i="9"/>
  <c r="R35" i="9"/>
  <c r="Q35" i="9"/>
  <c r="P35" i="9"/>
  <c r="O35" i="9"/>
  <c r="N35" i="9"/>
  <c r="S34" i="9"/>
  <c r="R34" i="9"/>
  <c r="Q34" i="9"/>
  <c r="P34" i="9"/>
  <c r="O34" i="9"/>
  <c r="N34" i="9"/>
  <c r="Z33" i="9"/>
  <c r="V33" i="9" s="1"/>
  <c r="Y33" i="9"/>
  <c r="X33" i="9"/>
  <c r="W33" i="9"/>
  <c r="S33" i="9"/>
  <c r="R33" i="9"/>
  <c r="Q33" i="9"/>
  <c r="P33" i="9"/>
  <c r="O33" i="9"/>
  <c r="Z32" i="9"/>
  <c r="V32" i="9" s="1"/>
  <c r="Y32" i="9"/>
  <c r="X32" i="9"/>
  <c r="W32" i="9"/>
  <c r="S32" i="9"/>
  <c r="R32" i="9"/>
  <c r="Q32" i="9"/>
  <c r="P32" i="9"/>
  <c r="Z31" i="9"/>
  <c r="V31" i="9" s="1"/>
  <c r="Y31" i="9"/>
  <c r="X31" i="9"/>
  <c r="W31" i="9"/>
  <c r="S31" i="9"/>
  <c r="R31" i="9"/>
  <c r="Q31" i="9"/>
  <c r="Z30" i="9"/>
  <c r="V30" i="9" s="1"/>
  <c r="Y30" i="9"/>
  <c r="X30" i="9"/>
  <c r="W30" i="9"/>
  <c r="S30" i="9"/>
  <c r="R30" i="9"/>
  <c r="Z29" i="9"/>
  <c r="V29" i="9" s="1"/>
  <c r="Y29" i="9"/>
  <c r="X29" i="9"/>
  <c r="W29" i="9"/>
  <c r="S29" i="9"/>
  <c r="Z28" i="9"/>
  <c r="Y28" i="9"/>
  <c r="X28" i="9"/>
  <c r="W28" i="9"/>
  <c r="T28" i="9" a="1"/>
  <c r="T40" i="9" s="1"/>
  <c r="S21" i="9"/>
  <c r="R21" i="9"/>
  <c r="Q21" i="9"/>
  <c r="P21" i="9"/>
  <c r="O21" i="9"/>
  <c r="N21" i="9"/>
  <c r="L21" i="9" a="1"/>
  <c r="L21" i="9" s="1"/>
  <c r="S20" i="9"/>
  <c r="R20" i="9"/>
  <c r="Q20" i="9"/>
  <c r="P20" i="9"/>
  <c r="O20" i="9"/>
  <c r="N20" i="9"/>
  <c r="L20" i="9" a="1"/>
  <c r="L20" i="9" s="1"/>
  <c r="S19" i="9"/>
  <c r="R19" i="9"/>
  <c r="Q19" i="9"/>
  <c r="P19" i="9"/>
  <c r="O19" i="9"/>
  <c r="N19" i="9"/>
  <c r="L19" i="9" a="1"/>
  <c r="L19" i="9" s="1"/>
  <c r="S18" i="9"/>
  <c r="R18" i="9"/>
  <c r="Q18" i="9"/>
  <c r="P18" i="9"/>
  <c r="O18" i="9"/>
  <c r="N18" i="9"/>
  <c r="L18" i="9" a="1"/>
  <c r="L18" i="9" s="1"/>
  <c r="S17" i="9"/>
  <c r="R17" i="9"/>
  <c r="Q17" i="9"/>
  <c r="P17" i="9"/>
  <c r="O17" i="9"/>
  <c r="N17" i="9"/>
  <c r="L17" i="9" a="1"/>
  <c r="L17" i="9" s="1"/>
  <c r="S16" i="9"/>
  <c r="R16" i="9"/>
  <c r="Q16" i="9"/>
  <c r="P16" i="9"/>
  <c r="O16" i="9"/>
  <c r="N16" i="9"/>
  <c r="L16" i="9" a="1"/>
  <c r="L16" i="9" s="1"/>
  <c r="S15" i="9"/>
  <c r="R15" i="9"/>
  <c r="Q15" i="9"/>
  <c r="P15" i="9"/>
  <c r="O15" i="9"/>
  <c r="N15" i="9"/>
  <c r="L15" i="9" a="1"/>
  <c r="L15" i="9" s="1"/>
  <c r="S14" i="9"/>
  <c r="R14" i="9"/>
  <c r="Q14" i="9"/>
  <c r="P14" i="9"/>
  <c r="O14" i="9"/>
  <c r="L14" i="9"/>
  <c r="L14" i="9" a="1"/>
  <c r="S13" i="9"/>
  <c r="R13" i="9"/>
  <c r="Q13" i="9"/>
  <c r="P13" i="9"/>
  <c r="L13" i="9" a="1"/>
  <c r="L13" i="9" s="1"/>
  <c r="S12" i="9"/>
  <c r="R12" i="9"/>
  <c r="Q12" i="9"/>
  <c r="L12" i="9" a="1"/>
  <c r="L12" i="9" s="1"/>
  <c r="S11" i="9"/>
  <c r="R11" i="9"/>
  <c r="L11" i="9" a="1"/>
  <c r="L11" i="9" s="1"/>
  <c r="AA10" i="9" s="1" a="1"/>
  <c r="S10" i="9"/>
  <c r="Z9" i="9"/>
  <c r="Y9" i="9"/>
  <c r="X9" i="9"/>
  <c r="W9" i="9"/>
  <c r="T9" i="9" a="1"/>
  <c r="T19" i="9" s="1"/>
  <c r="B36" i="4" l="1"/>
  <c r="AQ101" i="5"/>
  <c r="AQ80" i="5"/>
  <c r="AQ55" i="5"/>
  <c r="AQ68" i="5"/>
  <c r="AQ69" i="5"/>
  <c r="AN101" i="5"/>
  <c r="AN80" i="5"/>
  <c r="AN55" i="5"/>
  <c r="V39" i="4"/>
  <c r="B39" i="4"/>
  <c r="AQ100" i="5"/>
  <c r="V36" i="4"/>
  <c r="AQ31" i="5" s="1"/>
  <c r="AQ54" i="5"/>
  <c r="AQ22" i="5"/>
  <c r="AQ39" i="5"/>
  <c r="AQ25" i="5"/>
  <c r="AQ35" i="5"/>
  <c r="J67" i="3"/>
  <c r="V35" i="4" s="1"/>
  <c r="AN70" i="5"/>
  <c r="V9" i="9"/>
  <c r="AA9" i="9" s="1"/>
  <c r="T17" i="4"/>
  <c r="T25" i="4" s="1"/>
  <c r="AN68" i="5"/>
  <c r="B49" i="4"/>
  <c r="AN24" i="5"/>
  <c r="AN109" i="5"/>
  <c r="AN22" i="5"/>
  <c r="B17" i="4"/>
  <c r="B23" i="4" s="1"/>
  <c r="AN25" i="5"/>
  <c r="AN35" i="5"/>
  <c r="D17" i="4"/>
  <c r="D25" i="4" s="1"/>
  <c r="L17" i="4"/>
  <c r="L25" i="4" s="1"/>
  <c r="AN47" i="5"/>
  <c r="AN61" i="5"/>
  <c r="AN93" i="5"/>
  <c r="AN130" i="5"/>
  <c r="V28" i="9"/>
  <c r="AA28" i="9" s="1"/>
  <c r="T33" i="9"/>
  <c r="T37" i="9"/>
  <c r="Y37" i="9" s="1"/>
  <c r="AN107" i="5"/>
  <c r="W19" i="9"/>
  <c r="T29" i="9"/>
  <c r="H17" i="4"/>
  <c r="H23" i="4" s="1"/>
  <c r="AN108" i="5"/>
  <c r="P17" i="4"/>
  <c r="P23" i="4" s="1"/>
  <c r="F70" i="3"/>
  <c r="T40" i="4" s="1"/>
  <c r="F91" i="3"/>
  <c r="T58" i="4" s="1"/>
  <c r="AN83" i="5" s="1"/>
  <c r="J91" i="3"/>
  <c r="V58" i="4" s="1"/>
  <c r="AQ75" i="5" s="1"/>
  <c r="F71" i="3"/>
  <c r="T41" i="4" s="1"/>
  <c r="F92" i="3"/>
  <c r="T59" i="4" s="1"/>
  <c r="J92" i="3"/>
  <c r="V59" i="4" s="1"/>
  <c r="F68" i="3"/>
  <c r="T37" i="4" s="1"/>
  <c r="F89" i="3"/>
  <c r="J89" i="3"/>
  <c r="V56" i="4" s="1"/>
  <c r="W40" i="9"/>
  <c r="AA21" i="9"/>
  <c r="AA17" i="9"/>
  <c r="AA13" i="9"/>
  <c r="AA20" i="9"/>
  <c r="AA16" i="9"/>
  <c r="AA12" i="9"/>
  <c r="AA18" i="9"/>
  <c r="AA14" i="9"/>
  <c r="AA10" i="9"/>
  <c r="AA19" i="9"/>
  <c r="AA15" i="9"/>
  <c r="AA11" i="9"/>
  <c r="Z40" i="9"/>
  <c r="X19" i="9"/>
  <c r="T9" i="9"/>
  <c r="T13" i="9"/>
  <c r="T17" i="9"/>
  <c r="W17" i="9" s="1"/>
  <c r="T21" i="9"/>
  <c r="Y21" i="9" s="1"/>
  <c r="Y19" i="9"/>
  <c r="T30" i="9"/>
  <c r="T34" i="9"/>
  <c r="W34" i="9" s="1"/>
  <c r="T38" i="9"/>
  <c r="W38" i="9" s="1"/>
  <c r="X40" i="9"/>
  <c r="T10" i="9"/>
  <c r="T14" i="9"/>
  <c r="T18" i="9"/>
  <c r="X18" i="9" s="1"/>
  <c r="Z19" i="9"/>
  <c r="T31" i="9"/>
  <c r="T35" i="9"/>
  <c r="W35" i="9" s="1"/>
  <c r="T39" i="9"/>
  <c r="W39" i="9" s="1"/>
  <c r="Y40" i="9"/>
  <c r="T12" i="9"/>
  <c r="T16" i="9"/>
  <c r="W16" i="9" s="1"/>
  <c r="T20" i="9"/>
  <c r="W20" i="9" s="1"/>
  <c r="T11" i="9"/>
  <c r="T15" i="9"/>
  <c r="X15" i="9" s="1"/>
  <c r="T28" i="9"/>
  <c r="T32" i="9"/>
  <c r="T36" i="9"/>
  <c r="Z36" i="9" s="1"/>
  <c r="AQ103" i="5" l="1"/>
  <c r="AQ58" i="5"/>
  <c r="AQ34" i="5"/>
  <c r="AQ99" i="5"/>
  <c r="AQ53" i="5"/>
  <c r="AQ30" i="5"/>
  <c r="AQ76" i="5"/>
  <c r="F88" i="3"/>
  <c r="T55" i="4" s="1"/>
  <c r="T56" i="4"/>
  <c r="AN75" i="5"/>
  <c r="AQ83" i="5"/>
  <c r="T39" i="4"/>
  <c r="AQ52" i="5"/>
  <c r="AQ29" i="5"/>
  <c r="AQ98" i="5"/>
  <c r="AN54" i="5"/>
  <c r="AN100" i="5"/>
  <c r="T36" i="4"/>
  <c r="AQ104" i="5"/>
  <c r="AQ57" i="5"/>
  <c r="AN129" i="5"/>
  <c r="AN158" i="5"/>
  <c r="X21" i="9"/>
  <c r="D23" i="4"/>
  <c r="AN62" i="5"/>
  <c r="AN160" i="5"/>
  <c r="B25" i="4"/>
  <c r="E82" i="3" s="1"/>
  <c r="AN131" i="5"/>
  <c r="AN119" i="5"/>
  <c r="T23" i="4"/>
  <c r="AN159" i="5"/>
  <c r="P25" i="4"/>
  <c r="AI9" i="9"/>
  <c r="AG9" i="9"/>
  <c r="AE9" i="9"/>
  <c r="AC9" i="9"/>
  <c r="X38" i="9"/>
  <c r="BQ28" i="9"/>
  <c r="BI28" i="9"/>
  <c r="BA28" i="9"/>
  <c r="AS28" i="9"/>
  <c r="AK28" i="9"/>
  <c r="AC28" i="9"/>
  <c r="BW28" i="9"/>
  <c r="BO28" i="9"/>
  <c r="BG28" i="9"/>
  <c r="AY28" i="9"/>
  <c r="AQ28" i="9"/>
  <c r="AI28" i="9"/>
  <c r="BU28" i="9"/>
  <c r="BS28" i="9"/>
  <c r="BK28" i="9"/>
  <c r="BC28" i="9"/>
  <c r="AU28" i="9"/>
  <c r="AM28" i="9"/>
  <c r="AE28" i="9"/>
  <c r="BM28" i="9"/>
  <c r="AG28" i="9"/>
  <c r="BE28" i="9"/>
  <c r="AW28" i="9"/>
  <c r="AO28" i="9"/>
  <c r="L23" i="4"/>
  <c r="Z37" i="9"/>
  <c r="X37" i="9"/>
  <c r="W37" i="9"/>
  <c r="Y38" i="9"/>
  <c r="H25" i="4"/>
  <c r="X17" i="9"/>
  <c r="W15" i="9"/>
  <c r="X20" i="9"/>
  <c r="X35" i="9"/>
  <c r="W21" i="9"/>
  <c r="Y35" i="9"/>
  <c r="Z18" i="9"/>
  <c r="V18" i="9" s="1"/>
  <c r="M35" i="3" a="1"/>
  <c r="O35" i="3" a="1"/>
  <c r="G35" i="3" a="1"/>
  <c r="I35" i="3" a="1"/>
  <c r="K35" i="3" a="1"/>
  <c r="F67" i="3"/>
  <c r="T35" i="4" s="1"/>
  <c r="O12" i="3" a="1"/>
  <c r="M12" i="3" a="1"/>
  <c r="K12" i="3" a="1"/>
  <c r="G12" i="3" a="1"/>
  <c r="J88" i="3"/>
  <c r="V55" i="4" s="1"/>
  <c r="Z17" i="9"/>
  <c r="W36" i="9"/>
  <c r="Y17" i="9"/>
  <c r="Y16" i="9"/>
  <c r="Z39" i="9"/>
  <c r="Z35" i="9"/>
  <c r="V19" i="9"/>
  <c r="Y36" i="9"/>
  <c r="AA8" i="9"/>
  <c r="X39" i="9"/>
  <c r="Z34" i="9"/>
  <c r="Z16" i="9"/>
  <c r="Z21" i="9"/>
  <c r="X36" i="9"/>
  <c r="V36" i="9" s="1"/>
  <c r="Y20" i="9"/>
  <c r="Z15" i="9"/>
  <c r="V15" i="9" s="1"/>
  <c r="X34" i="9"/>
  <c r="Y15" i="9"/>
  <c r="T7" i="9"/>
  <c r="Y39" i="9"/>
  <c r="Z38" i="9"/>
  <c r="W18" i="9"/>
  <c r="Z20" i="9"/>
  <c r="V40" i="9"/>
  <c r="Y18" i="9"/>
  <c r="Y34" i="9"/>
  <c r="X16" i="9"/>
  <c r="AD75" i="3" a="1"/>
  <c r="R75" i="3" a="1"/>
  <c r="E80" i="3"/>
  <c r="AE80" i="3" s="1"/>
  <c r="AN30" i="5" l="1"/>
  <c r="AN53" i="5"/>
  <c r="AN76" i="5"/>
  <c r="AN99" i="5"/>
  <c r="AN73" i="5"/>
  <c r="AN74" i="5"/>
  <c r="AQ73" i="5"/>
  <c r="AQ74" i="5"/>
  <c r="AN57" i="5"/>
  <c r="AN34" i="5"/>
  <c r="AN58" i="5"/>
  <c r="AN104" i="5"/>
  <c r="AN103" i="5"/>
  <c r="AN31" i="5"/>
  <c r="AN52" i="5"/>
  <c r="AN29" i="5"/>
  <c r="AN98" i="5"/>
  <c r="V21" i="9"/>
  <c r="V35" i="9"/>
  <c r="V38" i="9"/>
  <c r="V16" i="9"/>
  <c r="V37" i="9"/>
  <c r="V34" i="9"/>
  <c r="AD80" i="3"/>
  <c r="P48" i="4" s="1"/>
  <c r="V17" i="9"/>
  <c r="V20" i="9"/>
  <c r="AE12" i="3" a="1"/>
  <c r="G80" i="3"/>
  <c r="K80" i="3"/>
  <c r="Y80" i="3"/>
  <c r="U12" i="3" a="1"/>
  <c r="U35" i="3" a="1"/>
  <c r="Q12" i="3" a="1"/>
  <c r="AI12" i="3" a="1"/>
  <c r="W12" i="3" a="1"/>
  <c r="Q35" i="3" a="1"/>
  <c r="AG12" i="3" a="1"/>
  <c r="Y12" i="3" a="1"/>
  <c r="S80" i="3"/>
  <c r="AC12" i="3" a="1"/>
  <c r="S12" i="3" a="1"/>
  <c r="AG35" i="3" a="1"/>
  <c r="I12" i="3" a="1"/>
  <c r="AA12" i="3" a="1"/>
  <c r="V39" i="9"/>
  <c r="X75" i="3" a="1"/>
  <c r="F80" i="3" l="1"/>
  <c r="T48" i="4" s="1"/>
  <c r="R80" i="3"/>
  <c r="H48" i="4" s="1"/>
  <c r="X80" i="3"/>
  <c r="L48" i="4" s="1"/>
  <c r="R56" i="4"/>
  <c r="AB89" i="3"/>
  <c r="N56" i="4" s="1"/>
  <c r="J56" i="4"/>
  <c r="R41" i="4"/>
  <c r="N41" i="4"/>
  <c r="J41" i="4"/>
  <c r="R40" i="4"/>
  <c r="N40" i="4"/>
  <c r="J40" i="4"/>
  <c r="R34" i="4"/>
  <c r="N34" i="4"/>
  <c r="J34" i="4"/>
  <c r="R33" i="4"/>
  <c r="N33" i="4"/>
  <c r="J33" i="4"/>
  <c r="AB61" i="3"/>
  <c r="AD60" i="3"/>
  <c r="P31" i="4" s="1"/>
  <c r="X60" i="3"/>
  <c r="L31" i="4" s="1"/>
  <c r="R60" i="3"/>
  <c r="H31" i="4" s="1"/>
  <c r="P60" i="3"/>
  <c r="F31" i="4" s="1"/>
  <c r="L60" i="3"/>
  <c r="D31" i="4" s="1"/>
  <c r="AH60" i="3" l="1"/>
  <c r="R31" i="4" s="1"/>
  <c r="AB60" i="3"/>
  <c r="N31" i="4" s="1"/>
  <c r="N32" i="4"/>
  <c r="V60" i="3"/>
  <c r="J31" i="4" s="1"/>
  <c r="J32" i="4"/>
  <c r="AI80" i="3" l="1"/>
  <c r="AH75" i="3" a="1"/>
  <c r="AC80" i="3"/>
  <c r="AB75" i="3" a="1"/>
  <c r="W80" i="3"/>
  <c r="V75" i="3" a="1"/>
  <c r="L75" i="3" a="1"/>
  <c r="M80" i="3"/>
  <c r="E79" i="3"/>
  <c r="AI79" i="3" s="1"/>
  <c r="E78" i="3"/>
  <c r="E77" i="3"/>
  <c r="AI77" i="3" s="1"/>
  <c r="E76" i="3"/>
  <c r="AC76" i="3" s="1"/>
  <c r="M77" i="3" l="1"/>
  <c r="L77" i="3" s="1"/>
  <c r="D45" i="4" s="1"/>
  <c r="L80" i="3"/>
  <c r="D48" i="4" s="1"/>
  <c r="W77" i="3"/>
  <c r="G78" i="3"/>
  <c r="K78" i="3"/>
  <c r="Y78" i="3"/>
  <c r="AE78" i="3"/>
  <c r="S78" i="3"/>
  <c r="G79" i="3"/>
  <c r="K79" i="3"/>
  <c r="AE79" i="3"/>
  <c r="S79" i="3"/>
  <c r="Y79" i="3"/>
  <c r="M78" i="3"/>
  <c r="W78" i="3"/>
  <c r="AC79" i="3"/>
  <c r="AI76" i="3"/>
  <c r="AC78" i="3"/>
  <c r="M79" i="3"/>
  <c r="W79" i="3"/>
  <c r="G76" i="3"/>
  <c r="K76" i="3"/>
  <c r="S76" i="3"/>
  <c r="AE76" i="3"/>
  <c r="Y76" i="3"/>
  <c r="G77" i="3"/>
  <c r="K77" i="3"/>
  <c r="Y77" i="3"/>
  <c r="S77" i="3"/>
  <c r="AE77" i="3"/>
  <c r="M76" i="3"/>
  <c r="W76" i="3"/>
  <c r="AC77" i="3"/>
  <c r="AI78" i="3"/>
  <c r="P24" i="5"/>
  <c r="AD79" i="3" l="1"/>
  <c r="P47" i="4" s="1"/>
  <c r="R77" i="3"/>
  <c r="H45" i="4" s="1"/>
  <c r="X79" i="3"/>
  <c r="L47" i="4" s="1"/>
  <c r="F79" i="3"/>
  <c r="T47" i="4" s="1"/>
  <c r="L79" i="3"/>
  <c r="D47" i="4" s="1"/>
  <c r="AD78" i="3"/>
  <c r="P46" i="4" s="1"/>
  <c r="AD77" i="3"/>
  <c r="P45" i="4" s="1"/>
  <c r="F77" i="3"/>
  <c r="T45" i="4" s="1"/>
  <c r="L78" i="3"/>
  <c r="D46" i="4" s="1"/>
  <c r="X78" i="3"/>
  <c r="L46" i="4" s="1"/>
  <c r="X77" i="3"/>
  <c r="L45" i="4" s="1"/>
  <c r="R79" i="3"/>
  <c r="H47" i="4" s="1"/>
  <c r="R78" i="3"/>
  <c r="H46" i="4" s="1"/>
  <c r="F78" i="3"/>
  <c r="T46" i="4" s="1"/>
  <c r="X76" i="3"/>
  <c r="L44" i="4" s="1"/>
  <c r="F76" i="3"/>
  <c r="T44" i="4" s="1"/>
  <c r="AD76" i="3"/>
  <c r="P44" i="4" s="1"/>
  <c r="L76" i="3"/>
  <c r="D44" i="4" s="1"/>
  <c r="R76" i="3"/>
  <c r="H44" i="4" s="1"/>
  <c r="P49" i="4" l="1"/>
  <c r="H49" i="4"/>
  <c r="T49" i="4"/>
  <c r="AN91" i="5" s="1"/>
  <c r="L49" i="4"/>
  <c r="D49" i="4"/>
  <c r="M93" i="5"/>
  <c r="AK76" i="5"/>
  <c r="AE76" i="5"/>
  <c r="Y30" i="5"/>
  <c r="S30" i="5"/>
  <c r="P99" i="5"/>
  <c r="M76" i="5"/>
  <c r="M51" i="5"/>
  <c r="M75" i="5"/>
  <c r="M50" i="5"/>
  <c r="D49" i="3"/>
  <c r="I67" i="9"/>
  <c r="I68" i="9"/>
  <c r="I66" i="9"/>
  <c r="D42" i="9" a="1"/>
  <c r="F53" i="9" s="1"/>
  <c r="I51" i="9"/>
  <c r="H53" i="9"/>
  <c r="F44" i="9"/>
  <c r="E46" i="9"/>
  <c r="AK150" i="5"/>
  <c r="AH150" i="5"/>
  <c r="AE150" i="5"/>
  <c r="AB150" i="5"/>
  <c r="Y150" i="5"/>
  <c r="V150" i="5"/>
  <c r="S150" i="5"/>
  <c r="P150" i="5"/>
  <c r="M150" i="5"/>
  <c r="J150" i="5"/>
  <c r="L150" i="5" s="1"/>
  <c r="K150" i="5"/>
  <c r="AK149" i="5"/>
  <c r="AH149" i="5"/>
  <c r="AE149" i="5"/>
  <c r="AB149" i="5"/>
  <c r="Y149" i="5"/>
  <c r="V149" i="5"/>
  <c r="S149" i="5"/>
  <c r="P149" i="5"/>
  <c r="M149" i="5"/>
  <c r="J149" i="5"/>
  <c r="L149" i="5" s="1"/>
  <c r="K149" i="5"/>
  <c r="J148" i="5"/>
  <c r="L148" i="5" s="1"/>
  <c r="K148" i="5"/>
  <c r="J147" i="5"/>
  <c r="L147" i="5" s="1"/>
  <c r="K147" i="5"/>
  <c r="J146" i="5"/>
  <c r="L146" i="5" s="1"/>
  <c r="K146" i="5"/>
  <c r="D35" i="3" a="1"/>
  <c r="D46" i="3" s="1"/>
  <c r="J7" i="9"/>
  <c r="J73" i="9" s="1"/>
  <c r="D12" i="3" a="1"/>
  <c r="D1" i="9"/>
  <c r="D7" i="9"/>
  <c r="E7" i="9"/>
  <c r="F7" i="9"/>
  <c r="G7" i="9"/>
  <c r="H7" i="9"/>
  <c r="I7" i="9"/>
  <c r="D150" i="5"/>
  <c r="D149" i="5"/>
  <c r="D148" i="5"/>
  <c r="D147" i="5"/>
  <c r="D146" i="5"/>
  <c r="AK155" i="5"/>
  <c r="AK156" i="5"/>
  <c r="AK161" i="5"/>
  <c r="AK162" i="5"/>
  <c r="AK164" i="5"/>
  <c r="AK165" i="5"/>
  <c r="AK166" i="5"/>
  <c r="AK167" i="5"/>
  <c r="AK168" i="5"/>
  <c r="AH155" i="5"/>
  <c r="AH156" i="5"/>
  <c r="AH160" i="5"/>
  <c r="AH161" i="5"/>
  <c r="AH162" i="5"/>
  <c r="AH164" i="5"/>
  <c r="AH165" i="5"/>
  <c r="AH166" i="5"/>
  <c r="AH167" i="5"/>
  <c r="AH168" i="5"/>
  <c r="AE155" i="5"/>
  <c r="AE156" i="5"/>
  <c r="AE161" i="5"/>
  <c r="AE162" i="5"/>
  <c r="AE164" i="5"/>
  <c r="AE165" i="5"/>
  <c r="AE166" i="5"/>
  <c r="AE167" i="5"/>
  <c r="AE168" i="5"/>
  <c r="AB155" i="5"/>
  <c r="AB156" i="5"/>
  <c r="AB160" i="5"/>
  <c r="AB161" i="5"/>
  <c r="AB162" i="5"/>
  <c r="AB164" i="5"/>
  <c r="AB165" i="5"/>
  <c r="AB166" i="5"/>
  <c r="AB167" i="5"/>
  <c r="AB168" i="5"/>
  <c r="Y155" i="5"/>
  <c r="Y156" i="5"/>
  <c r="Y161" i="5"/>
  <c r="Y162" i="5"/>
  <c r="Y164" i="5"/>
  <c r="Y165" i="5"/>
  <c r="Y166" i="5"/>
  <c r="Y167" i="5"/>
  <c r="Y168" i="5"/>
  <c r="V155" i="5"/>
  <c r="V156" i="5"/>
  <c r="V160" i="5"/>
  <c r="V161" i="5"/>
  <c r="V162" i="5"/>
  <c r="V164" i="5"/>
  <c r="V165" i="5"/>
  <c r="V166" i="5"/>
  <c r="V167" i="5"/>
  <c r="V168" i="5"/>
  <c r="K158" i="5"/>
  <c r="K159" i="5"/>
  <c r="K160" i="5"/>
  <c r="K161" i="5"/>
  <c r="K164" i="5"/>
  <c r="K165" i="5"/>
  <c r="K166" i="5"/>
  <c r="K167" i="5"/>
  <c r="AK40" i="5"/>
  <c r="AK41" i="5"/>
  <c r="AK42" i="5"/>
  <c r="AK54" i="5"/>
  <c r="AK64" i="5"/>
  <c r="AK65" i="5"/>
  <c r="AK86" i="5"/>
  <c r="AK87" i="5"/>
  <c r="AK88" i="5"/>
  <c r="AK110" i="5"/>
  <c r="AK111" i="5"/>
  <c r="AK132" i="5"/>
  <c r="AK133" i="5"/>
  <c r="AK134" i="5"/>
  <c r="AK139" i="5"/>
  <c r="AK140" i="5"/>
  <c r="AK141" i="5"/>
  <c r="AK142" i="5"/>
  <c r="AK143" i="5"/>
  <c r="AK144" i="5"/>
  <c r="AH40" i="5"/>
  <c r="AH41" i="5"/>
  <c r="AH42" i="5"/>
  <c r="AH54" i="5"/>
  <c r="AH61" i="5"/>
  <c r="AH62" i="5"/>
  <c r="AH63" i="5"/>
  <c r="AH64" i="5"/>
  <c r="AH65" i="5"/>
  <c r="AH86" i="5"/>
  <c r="AH87" i="5"/>
  <c r="AH88" i="5"/>
  <c r="AH109" i="5"/>
  <c r="AH110" i="5"/>
  <c r="AH111" i="5"/>
  <c r="AH129" i="5"/>
  <c r="AH132" i="5"/>
  <c r="AH133" i="5"/>
  <c r="AH134" i="5"/>
  <c r="AH139" i="5"/>
  <c r="AH140" i="5"/>
  <c r="AH141" i="5"/>
  <c r="AH142" i="5"/>
  <c r="AH143" i="5"/>
  <c r="AH144" i="5"/>
  <c r="AE40" i="5"/>
  <c r="AE41" i="5"/>
  <c r="AE42" i="5"/>
  <c r="AE54" i="5"/>
  <c r="AE64" i="5"/>
  <c r="AE65" i="5"/>
  <c r="AE86" i="5"/>
  <c r="AE87" i="5"/>
  <c r="AE88" i="5"/>
  <c r="AE110" i="5"/>
  <c r="AE111" i="5"/>
  <c r="AE132" i="5"/>
  <c r="AE133" i="5"/>
  <c r="AE134" i="5"/>
  <c r="AE139" i="5"/>
  <c r="AE140" i="5"/>
  <c r="AE141" i="5"/>
  <c r="AE142" i="5"/>
  <c r="AE143" i="5"/>
  <c r="AE144" i="5"/>
  <c r="AB40" i="5"/>
  <c r="AB41" i="5"/>
  <c r="AB42" i="5"/>
  <c r="AB54" i="5"/>
  <c r="AB61" i="5"/>
  <c r="AB62" i="5"/>
  <c r="AB63" i="5"/>
  <c r="AB64" i="5"/>
  <c r="AB65" i="5"/>
  <c r="AB86" i="5"/>
  <c r="AB87" i="5"/>
  <c r="AB88" i="5"/>
  <c r="AB109" i="5"/>
  <c r="AB110" i="5"/>
  <c r="AB111" i="5"/>
  <c r="AB129" i="5"/>
  <c r="AB132" i="5"/>
  <c r="AB133" i="5"/>
  <c r="AB134" i="5"/>
  <c r="AB139" i="5"/>
  <c r="AB140" i="5"/>
  <c r="AB141" i="5"/>
  <c r="AB142" i="5"/>
  <c r="AB143" i="5"/>
  <c r="AB144" i="5"/>
  <c r="Y40" i="5"/>
  <c r="Y41" i="5"/>
  <c r="Y42" i="5"/>
  <c r="Y54" i="5"/>
  <c r="Y64" i="5"/>
  <c r="Y65" i="5"/>
  <c r="Y86" i="5"/>
  <c r="Y87" i="5"/>
  <c r="Y88" i="5"/>
  <c r="Y110" i="5"/>
  <c r="Y111" i="5"/>
  <c r="Y132" i="5"/>
  <c r="Y133" i="5"/>
  <c r="Y134" i="5"/>
  <c r="Y139" i="5"/>
  <c r="Y140" i="5"/>
  <c r="Y141" i="5"/>
  <c r="Y142" i="5"/>
  <c r="Y143" i="5"/>
  <c r="Y144" i="5"/>
  <c r="V40" i="5"/>
  <c r="V41" i="5"/>
  <c r="V42" i="5"/>
  <c r="V54" i="5"/>
  <c r="V61" i="5"/>
  <c r="V62" i="5"/>
  <c r="V63" i="5"/>
  <c r="V64" i="5"/>
  <c r="V65" i="5"/>
  <c r="V86" i="5"/>
  <c r="V87" i="5"/>
  <c r="V88" i="5"/>
  <c r="V109" i="5"/>
  <c r="V110" i="5"/>
  <c r="V111" i="5"/>
  <c r="V129" i="5"/>
  <c r="V132" i="5"/>
  <c r="V133" i="5"/>
  <c r="V134" i="5"/>
  <c r="V139" i="5"/>
  <c r="V140" i="5"/>
  <c r="V141" i="5"/>
  <c r="V142" i="5"/>
  <c r="V143" i="5"/>
  <c r="V144" i="5"/>
  <c r="S40" i="5"/>
  <c r="S41" i="5"/>
  <c r="S42" i="5"/>
  <c r="S54" i="5"/>
  <c r="S64" i="5"/>
  <c r="S65" i="5"/>
  <c r="S86" i="5"/>
  <c r="S87" i="5"/>
  <c r="S88" i="5"/>
  <c r="S110" i="5"/>
  <c r="S111" i="5"/>
  <c r="S132" i="5"/>
  <c r="S133" i="5"/>
  <c r="S134" i="5"/>
  <c r="S139" i="5"/>
  <c r="S140" i="5"/>
  <c r="S141" i="5"/>
  <c r="S142" i="5"/>
  <c r="S143" i="5"/>
  <c r="S144" i="5"/>
  <c r="S155" i="5"/>
  <c r="S156" i="5"/>
  <c r="S161" i="5"/>
  <c r="S162" i="5"/>
  <c r="S164" i="5"/>
  <c r="S165" i="5"/>
  <c r="S166" i="5"/>
  <c r="S167" i="5"/>
  <c r="S168" i="5"/>
  <c r="P156" i="5"/>
  <c r="P155" i="5"/>
  <c r="P40" i="5"/>
  <c r="P41" i="5"/>
  <c r="P42" i="5"/>
  <c r="P54" i="5"/>
  <c r="P60" i="5"/>
  <c r="P61" i="5"/>
  <c r="P62" i="5"/>
  <c r="P63" i="5"/>
  <c r="P64" i="5"/>
  <c r="P65" i="5"/>
  <c r="P86" i="5"/>
  <c r="P87" i="5"/>
  <c r="P88" i="5"/>
  <c r="P109" i="5"/>
  <c r="P110" i="5"/>
  <c r="P111" i="5"/>
  <c r="P129" i="5"/>
  <c r="P132" i="5"/>
  <c r="P133" i="5"/>
  <c r="P134" i="5"/>
  <c r="P139" i="5"/>
  <c r="P140" i="5"/>
  <c r="P141" i="5"/>
  <c r="P142" i="5"/>
  <c r="P143" i="5"/>
  <c r="P144" i="5"/>
  <c r="P160" i="5"/>
  <c r="P161" i="5"/>
  <c r="P162" i="5"/>
  <c r="P164" i="5"/>
  <c r="P165" i="5"/>
  <c r="P166" i="5"/>
  <c r="P167" i="5"/>
  <c r="P168" i="5"/>
  <c r="M40" i="5"/>
  <c r="M41" i="5"/>
  <c r="M42" i="5"/>
  <c r="M54" i="5"/>
  <c r="M57" i="5"/>
  <c r="M58" i="5"/>
  <c r="M61" i="5"/>
  <c r="M62" i="5"/>
  <c r="M63" i="5"/>
  <c r="M64" i="5"/>
  <c r="M65" i="5"/>
  <c r="M81" i="5"/>
  <c r="M83" i="5"/>
  <c r="M86" i="5"/>
  <c r="M87" i="5"/>
  <c r="M88" i="5"/>
  <c r="M109" i="5"/>
  <c r="M110" i="5"/>
  <c r="M111" i="5"/>
  <c r="M129" i="5"/>
  <c r="M132" i="5"/>
  <c r="M133" i="5"/>
  <c r="M134" i="5"/>
  <c r="M139" i="5"/>
  <c r="M140" i="5"/>
  <c r="M141" i="5"/>
  <c r="M142" i="5"/>
  <c r="M143" i="5"/>
  <c r="M144" i="5"/>
  <c r="M155" i="5"/>
  <c r="M156" i="5"/>
  <c r="M160" i="5"/>
  <c r="M161" i="5"/>
  <c r="M162" i="5"/>
  <c r="M164" i="5"/>
  <c r="M165" i="5"/>
  <c r="M166" i="5"/>
  <c r="M167" i="5"/>
  <c r="M168" i="5"/>
  <c r="K141" i="5"/>
  <c r="K142" i="5"/>
  <c r="K143" i="5"/>
  <c r="K144" i="5"/>
  <c r="K139" i="5"/>
  <c r="K140" i="5"/>
  <c r="K23" i="5"/>
  <c r="K24" i="5"/>
  <c r="K25" i="5"/>
  <c r="K28" i="5"/>
  <c r="K29" i="5"/>
  <c r="K30" i="5"/>
  <c r="K31" i="5"/>
  <c r="K32" i="5"/>
  <c r="K33" i="5"/>
  <c r="K34" i="5"/>
  <c r="K35" i="5"/>
  <c r="K38" i="5"/>
  <c r="K39" i="5"/>
  <c r="K40" i="5"/>
  <c r="K41" i="5"/>
  <c r="K42" i="5"/>
  <c r="K153" i="5"/>
  <c r="K154" i="5"/>
  <c r="K152" i="5"/>
  <c r="P58" i="3"/>
  <c r="F29" i="4" s="1"/>
  <c r="S60" i="5" s="1"/>
  <c r="V58" i="3"/>
  <c r="J29" i="4" s="1"/>
  <c r="Y60" i="5" s="1"/>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51" i="5"/>
  <c r="D152" i="5"/>
  <c r="D153" i="5"/>
  <c r="D154" i="5"/>
  <c r="D155" i="5"/>
  <c r="D156" i="5"/>
  <c r="D157" i="5"/>
  <c r="D158" i="5"/>
  <c r="D159" i="5"/>
  <c r="D160" i="5"/>
  <c r="D161" i="5"/>
  <c r="D162" i="5"/>
  <c r="D163" i="5"/>
  <c r="D164" i="5"/>
  <c r="D165" i="5"/>
  <c r="D166" i="5"/>
  <c r="D167" i="5"/>
  <c r="D168" i="5"/>
  <c r="D21" i="5"/>
  <c r="J158" i="5"/>
  <c r="L158" i="5" s="1"/>
  <c r="K134" i="5"/>
  <c r="J134" i="5"/>
  <c r="L134" i="5" s="1"/>
  <c r="K133" i="5"/>
  <c r="J133" i="5"/>
  <c r="L133" i="5" s="1"/>
  <c r="K132" i="5"/>
  <c r="J132" i="5"/>
  <c r="L132" i="5" s="1"/>
  <c r="K131" i="5"/>
  <c r="J131" i="5"/>
  <c r="L131" i="5" s="1"/>
  <c r="K130" i="5"/>
  <c r="J130" i="5"/>
  <c r="L130" i="5" s="1"/>
  <c r="K129" i="5"/>
  <c r="J129" i="5"/>
  <c r="L129" i="5" s="1"/>
  <c r="K127" i="5"/>
  <c r="J127" i="5"/>
  <c r="L127" i="5" s="1"/>
  <c r="K126" i="5"/>
  <c r="J126" i="5"/>
  <c r="L126" i="5" s="1"/>
  <c r="K125" i="5"/>
  <c r="J125" i="5"/>
  <c r="L125" i="5" s="1"/>
  <c r="K124" i="5"/>
  <c r="J124" i="5"/>
  <c r="L124" i="5" s="1"/>
  <c r="K123" i="5"/>
  <c r="J123" i="5"/>
  <c r="L123" i="5" s="1"/>
  <c r="K122" i="5"/>
  <c r="J122" i="5"/>
  <c r="L122" i="5" s="1"/>
  <c r="K121" i="5"/>
  <c r="J121" i="5"/>
  <c r="L121" i="5" s="1"/>
  <c r="K120" i="5"/>
  <c r="J120" i="5"/>
  <c r="L120" i="5" s="1"/>
  <c r="K119" i="5"/>
  <c r="J119" i="5"/>
  <c r="L119" i="5" s="1"/>
  <c r="K117" i="5"/>
  <c r="J117" i="5"/>
  <c r="L117" i="5" s="1"/>
  <c r="K116" i="5"/>
  <c r="J116" i="5"/>
  <c r="L116" i="5" s="1"/>
  <c r="K115" i="5"/>
  <c r="J115" i="5"/>
  <c r="L115" i="5" s="1"/>
  <c r="J114" i="5"/>
  <c r="L114" i="5" s="1"/>
  <c r="D67" i="3"/>
  <c r="B35" i="4" s="1"/>
  <c r="M52" i="5" s="1"/>
  <c r="AD58" i="3"/>
  <c r="P29" i="4" s="1"/>
  <c r="AH60" i="5" s="1"/>
  <c r="R58" i="3"/>
  <c r="H29" i="4" s="1"/>
  <c r="V60" i="5" s="1"/>
  <c r="D1" i="3"/>
  <c r="K22" i="5"/>
  <c r="K45" i="5"/>
  <c r="K68" i="5"/>
  <c r="K46" i="5"/>
  <c r="K69" i="5"/>
  <c r="K47" i="5"/>
  <c r="K70" i="5"/>
  <c r="K48" i="5"/>
  <c r="K71" i="5"/>
  <c r="K27" i="5"/>
  <c r="K50" i="5"/>
  <c r="K73" i="5"/>
  <c r="K96" i="5"/>
  <c r="K51" i="5"/>
  <c r="K74" i="5"/>
  <c r="K52" i="5"/>
  <c r="K75" i="5"/>
  <c r="K53" i="5"/>
  <c r="K76" i="5"/>
  <c r="K54" i="5"/>
  <c r="K55" i="5"/>
  <c r="K56" i="5"/>
  <c r="K57" i="5"/>
  <c r="K80" i="5"/>
  <c r="K58" i="5"/>
  <c r="K81" i="5"/>
  <c r="K104" i="5"/>
  <c r="K37" i="5"/>
  <c r="K60" i="5"/>
  <c r="K83" i="5"/>
  <c r="K106" i="5"/>
  <c r="J160" i="5"/>
  <c r="L160" i="5" s="1"/>
  <c r="K61" i="5"/>
  <c r="K62" i="5"/>
  <c r="K63" i="5"/>
  <c r="K86" i="5"/>
  <c r="K109" i="5"/>
  <c r="K64" i="5"/>
  <c r="K87" i="5"/>
  <c r="K110" i="5"/>
  <c r="K155" i="5"/>
  <c r="K65" i="5"/>
  <c r="K88" i="5"/>
  <c r="K111" i="5"/>
  <c r="K156" i="5"/>
  <c r="K162" i="5"/>
  <c r="K168" i="5"/>
  <c r="J22" i="5"/>
  <c r="L22" i="5" s="1"/>
  <c r="J45" i="5"/>
  <c r="L45" i="5" s="1"/>
  <c r="J68" i="5"/>
  <c r="L68" i="5" s="1"/>
  <c r="J91" i="5"/>
  <c r="L91" i="5" s="1"/>
  <c r="J137" i="5"/>
  <c r="L137" i="5" s="1"/>
  <c r="J23" i="5"/>
  <c r="L23" i="5" s="1"/>
  <c r="J46" i="5"/>
  <c r="L46" i="5" s="1"/>
  <c r="J69" i="5"/>
  <c r="L69" i="5" s="1"/>
  <c r="J92" i="5"/>
  <c r="L92" i="5" s="1"/>
  <c r="J138" i="5"/>
  <c r="L138" i="5" s="1"/>
  <c r="J24" i="5"/>
  <c r="L24" i="5" s="1"/>
  <c r="J47" i="5"/>
  <c r="L47" i="5" s="1"/>
  <c r="J70" i="5"/>
  <c r="L70" i="5" s="1"/>
  <c r="J93" i="5"/>
  <c r="L93" i="5" s="1"/>
  <c r="J139" i="5"/>
  <c r="L139" i="5" s="1"/>
  <c r="J25" i="5"/>
  <c r="L25" i="5" s="1"/>
  <c r="J48" i="5"/>
  <c r="L48" i="5" s="1"/>
  <c r="J71" i="5"/>
  <c r="L71" i="5" s="1"/>
  <c r="J94" i="5"/>
  <c r="L94" i="5" s="1"/>
  <c r="J140" i="5"/>
  <c r="L140" i="5" s="1"/>
  <c r="J27" i="5"/>
  <c r="L27" i="5" s="1"/>
  <c r="J50" i="5"/>
  <c r="L50" i="5" s="1"/>
  <c r="J73" i="5"/>
  <c r="L73" i="5" s="1"/>
  <c r="J96" i="5"/>
  <c r="L96" i="5" s="1"/>
  <c r="J28" i="5"/>
  <c r="L28" i="5" s="1"/>
  <c r="J51" i="5"/>
  <c r="L51" i="5" s="1"/>
  <c r="J74" i="5"/>
  <c r="L74" i="5" s="1"/>
  <c r="J97" i="5"/>
  <c r="L97" i="5" s="1"/>
  <c r="J29" i="5"/>
  <c r="L29" i="5" s="1"/>
  <c r="J52" i="5"/>
  <c r="L52" i="5" s="1"/>
  <c r="J75" i="5"/>
  <c r="L75" i="5" s="1"/>
  <c r="J98" i="5"/>
  <c r="L98" i="5" s="1"/>
  <c r="J30" i="5"/>
  <c r="L30" i="5" s="1"/>
  <c r="J53" i="5"/>
  <c r="L53" i="5" s="1"/>
  <c r="J76" i="5"/>
  <c r="L76" i="5" s="1"/>
  <c r="J99" i="5"/>
  <c r="L99" i="5" s="1"/>
  <c r="J31" i="5"/>
  <c r="L31" i="5" s="1"/>
  <c r="J54" i="5"/>
  <c r="L54" i="5" s="1"/>
  <c r="J77" i="5"/>
  <c r="L77" i="5" s="1"/>
  <c r="J100" i="5"/>
  <c r="L100" i="5" s="1"/>
  <c r="J32" i="5"/>
  <c r="L32" i="5" s="1"/>
  <c r="J55" i="5"/>
  <c r="L55" i="5" s="1"/>
  <c r="J78" i="5"/>
  <c r="L78" i="5" s="1"/>
  <c r="J101" i="5"/>
  <c r="L101" i="5" s="1"/>
  <c r="J33" i="5"/>
  <c r="L33" i="5" s="1"/>
  <c r="J56" i="5"/>
  <c r="L56" i="5" s="1"/>
  <c r="J79" i="5"/>
  <c r="L79" i="5" s="1"/>
  <c r="J102" i="5"/>
  <c r="L102" i="5" s="1"/>
  <c r="J34" i="5"/>
  <c r="L34" i="5" s="1"/>
  <c r="J57" i="5"/>
  <c r="L57" i="5" s="1"/>
  <c r="J80" i="5"/>
  <c r="L80" i="5" s="1"/>
  <c r="J103" i="5"/>
  <c r="L103" i="5" s="1"/>
  <c r="J35" i="5"/>
  <c r="L35" i="5" s="1"/>
  <c r="J58" i="5"/>
  <c r="L58" i="5" s="1"/>
  <c r="J81" i="5"/>
  <c r="L81" i="5" s="1"/>
  <c r="J104" i="5"/>
  <c r="L104" i="5" s="1"/>
  <c r="J37" i="5"/>
  <c r="L37" i="5" s="1"/>
  <c r="J60" i="5"/>
  <c r="L60" i="5" s="1"/>
  <c r="J83" i="5"/>
  <c r="L83" i="5" s="1"/>
  <c r="J106" i="5"/>
  <c r="L106" i="5" s="1"/>
  <c r="J38" i="5"/>
  <c r="L38" i="5" s="1"/>
  <c r="J61" i="5"/>
  <c r="L61" i="5" s="1"/>
  <c r="J84" i="5"/>
  <c r="L84" i="5" s="1"/>
  <c r="J107" i="5"/>
  <c r="L107" i="5" s="1"/>
  <c r="J39" i="5"/>
  <c r="L39" i="5" s="1"/>
  <c r="J62" i="5"/>
  <c r="L62" i="5" s="1"/>
  <c r="J85" i="5"/>
  <c r="L85" i="5" s="1"/>
  <c r="J108" i="5"/>
  <c r="L108" i="5" s="1"/>
  <c r="J40" i="5"/>
  <c r="L40" i="5" s="1"/>
  <c r="J63" i="5"/>
  <c r="L63" i="5" s="1"/>
  <c r="J86" i="5"/>
  <c r="L86" i="5" s="1"/>
  <c r="J109" i="5"/>
  <c r="L109" i="5" s="1"/>
  <c r="J41" i="5"/>
  <c r="L41" i="5" s="1"/>
  <c r="J64" i="5"/>
  <c r="L64" i="5" s="1"/>
  <c r="J87" i="5"/>
  <c r="L87" i="5" s="1"/>
  <c r="J110" i="5"/>
  <c r="L110" i="5" s="1"/>
  <c r="J143" i="5"/>
  <c r="L143" i="5" s="1"/>
  <c r="J155" i="5"/>
  <c r="L155" i="5" s="1"/>
  <c r="J161" i="5"/>
  <c r="L161" i="5" s="1"/>
  <c r="J167" i="5"/>
  <c r="L167" i="5" s="1"/>
  <c r="J42" i="5"/>
  <c r="L42" i="5" s="1"/>
  <c r="J65" i="5"/>
  <c r="L65" i="5" s="1"/>
  <c r="J88" i="5"/>
  <c r="L88" i="5" s="1"/>
  <c r="J111" i="5"/>
  <c r="L111" i="5" s="1"/>
  <c r="J144" i="5"/>
  <c r="L144" i="5" s="1"/>
  <c r="J156" i="5"/>
  <c r="L156" i="5" s="1"/>
  <c r="J162" i="5"/>
  <c r="L162" i="5" s="1"/>
  <c r="J168" i="5"/>
  <c r="L168" i="5" s="1"/>
  <c r="J159" i="5"/>
  <c r="L159" i="5" s="1"/>
  <c r="J166" i="5"/>
  <c r="L166" i="5" s="1"/>
  <c r="J165" i="5"/>
  <c r="L165" i="5" s="1"/>
  <c r="J142" i="5"/>
  <c r="L142" i="5" s="1"/>
  <c r="J154" i="5"/>
  <c r="L154" i="5" s="1"/>
  <c r="J153" i="5"/>
  <c r="L153" i="5" s="1"/>
  <c r="J141" i="5"/>
  <c r="L141" i="5" s="1"/>
  <c r="M92" i="5"/>
  <c r="M35" i="5"/>
  <c r="D75" i="3"/>
  <c r="J164" i="5"/>
  <c r="L164" i="5" s="1"/>
  <c r="D88" i="3"/>
  <c r="B55" i="4" s="1"/>
  <c r="J152" i="5"/>
  <c r="L152" i="5" s="1"/>
  <c r="K77" i="5"/>
  <c r="K78" i="5"/>
  <c r="K79" i="5"/>
  <c r="K84" i="5"/>
  <c r="K85" i="5"/>
  <c r="K91" i="5"/>
  <c r="K92" i="5"/>
  <c r="K93" i="5"/>
  <c r="K94" i="5"/>
  <c r="K97" i="5"/>
  <c r="K98" i="5"/>
  <c r="K99" i="5"/>
  <c r="K100" i="5"/>
  <c r="K101" i="5"/>
  <c r="K102" i="5"/>
  <c r="K103" i="5"/>
  <c r="K107" i="5"/>
  <c r="K108" i="5"/>
  <c r="K114" i="5"/>
  <c r="K137" i="5"/>
  <c r="K138" i="5"/>
  <c r="H26" i="9"/>
  <c r="B26" i="4" s="1"/>
  <c r="H27" i="9"/>
  <c r="E27" i="9"/>
  <c r="D27" i="9"/>
  <c r="F27" i="9"/>
  <c r="G27" i="9"/>
  <c r="I42" i="9"/>
  <c r="J27" i="9"/>
  <c r="G26" i="9"/>
  <c r="I27" i="9"/>
  <c r="E26" i="9"/>
  <c r="F26" i="9"/>
  <c r="I26" i="9"/>
  <c r="D26" i="9"/>
  <c r="D5" i="9" s="1"/>
  <c r="J26" i="9"/>
  <c r="M74" i="5" l="1"/>
  <c r="N74" i="5" s="1"/>
  <c r="B43" i="4"/>
  <c r="G5" i="9"/>
  <c r="AN45" i="5"/>
  <c r="J55" i="9"/>
  <c r="D26" i="3" s="1"/>
  <c r="B10" i="4" s="1"/>
  <c r="J22" i="9"/>
  <c r="AZ22" i="9" s="1"/>
  <c r="E5" i="9"/>
  <c r="I5" i="9"/>
  <c r="L16" i="4" s="1"/>
  <c r="F5" i="9"/>
  <c r="J74" i="9"/>
  <c r="I74" i="9" s="1"/>
  <c r="D31" i="3"/>
  <c r="B12" i="4" s="1"/>
  <c r="G42" i="9"/>
  <c r="E83" i="3"/>
  <c r="E85" i="3"/>
  <c r="E84" i="3"/>
  <c r="E75" i="3"/>
  <c r="I46" i="9"/>
  <c r="H45" i="9"/>
  <c r="I43" i="9"/>
  <c r="E53" i="9"/>
  <c r="T24" i="4"/>
  <c r="P24" i="4"/>
  <c r="P22" i="4" s="1"/>
  <c r="L24" i="4"/>
  <c r="L22" i="4" s="1"/>
  <c r="H24" i="4"/>
  <c r="H22" i="4" s="1"/>
  <c r="D24" i="4"/>
  <c r="D22" i="4" s="1"/>
  <c r="D26" i="4"/>
  <c r="D27" i="4" s="1"/>
  <c r="T26" i="4"/>
  <c r="T27" i="4" s="1"/>
  <c r="P26" i="4"/>
  <c r="P27" i="4" s="1"/>
  <c r="L26" i="4"/>
  <c r="L27" i="4" s="1"/>
  <c r="H26" i="4"/>
  <c r="H27" i="4" s="1"/>
  <c r="H5" i="9"/>
  <c r="B16" i="4" s="1"/>
  <c r="M71" i="5" s="1"/>
  <c r="N71" i="5" s="1"/>
  <c r="I48" i="9"/>
  <c r="F46" i="9"/>
  <c r="E45" i="9"/>
  <c r="F43" i="9"/>
  <c r="F42" i="9"/>
  <c r="H42" i="9"/>
  <c r="E50" i="9"/>
  <c r="D49" i="9"/>
  <c r="I47" i="9"/>
  <c r="D46" i="9"/>
  <c r="D42" i="9"/>
  <c r="E52" i="9"/>
  <c r="H49" i="9"/>
  <c r="G48" i="9"/>
  <c r="H48" i="9"/>
  <c r="G49" i="9"/>
  <c r="F48" i="9"/>
  <c r="I45" i="9"/>
  <c r="F45" i="9"/>
  <c r="J5" i="9"/>
  <c r="I72" i="9" s="1"/>
  <c r="K33" i="9" a="1"/>
  <c r="K33" i="9" s="1"/>
  <c r="K28" i="9" a="1"/>
  <c r="K28" i="9" s="1"/>
  <c r="K32" i="9" a="1"/>
  <c r="K32" i="9" s="1"/>
  <c r="K31" i="9" a="1"/>
  <c r="K31" i="9" s="1"/>
  <c r="K30" i="9" a="1"/>
  <c r="K30" i="9" s="1"/>
  <c r="K29" i="9" a="1"/>
  <c r="K29" i="9" s="1"/>
  <c r="K40" i="9" a="1"/>
  <c r="K40" i="9" s="1"/>
  <c r="K39" i="9" a="1"/>
  <c r="K39" i="9" s="1"/>
  <c r="K38" i="9" a="1"/>
  <c r="K38" i="9" s="1"/>
  <c r="K37" i="9" a="1"/>
  <c r="K37" i="9" s="1"/>
  <c r="K36" i="9" a="1"/>
  <c r="K36" i="9" s="1"/>
  <c r="K35" i="9" a="1"/>
  <c r="K35" i="9" s="1"/>
  <c r="K34" i="9" a="1"/>
  <c r="K34" i="9" s="1"/>
  <c r="J68" i="9"/>
  <c r="G43" i="9"/>
  <c r="I52" i="9"/>
  <c r="H51" i="9"/>
  <c r="E49" i="9"/>
  <c r="H50" i="9"/>
  <c r="E42" i="9"/>
  <c r="J63" i="9"/>
  <c r="I44" i="9"/>
  <c r="D43" i="9"/>
  <c r="F52" i="9"/>
  <c r="E51" i="9"/>
  <c r="F51" i="9"/>
  <c r="N35" i="5"/>
  <c r="Q35" i="5" s="1"/>
  <c r="T35" i="5" s="1"/>
  <c r="W35" i="5" s="1"/>
  <c r="Z35" i="5" s="1"/>
  <c r="AC35" i="5" s="1"/>
  <c r="AF35" i="5" s="1"/>
  <c r="AI35" i="5" s="1"/>
  <c r="AL35" i="5" s="1"/>
  <c r="AO35" i="5" s="1"/>
  <c r="AR35" i="5" s="1"/>
  <c r="AP35" i="5" s="1"/>
  <c r="K113" i="5"/>
  <c r="N140" i="5"/>
  <c r="AC140" i="5" s="1"/>
  <c r="AA140" i="5" s="1"/>
  <c r="AA35" i="3" a="1"/>
  <c r="K157" i="5"/>
  <c r="K90" i="5"/>
  <c r="N75" i="5"/>
  <c r="K105" i="5"/>
  <c r="K136" i="5"/>
  <c r="K163" i="5"/>
  <c r="N141" i="5"/>
  <c r="N54" i="5"/>
  <c r="N144" i="5"/>
  <c r="N86" i="5"/>
  <c r="N42" i="5"/>
  <c r="Q42" i="5" s="1"/>
  <c r="O42" i="5" s="1"/>
  <c r="N92" i="5"/>
  <c r="N83" i="5"/>
  <c r="Y76" i="5"/>
  <c r="AK30" i="5"/>
  <c r="M70" i="5"/>
  <c r="N70" i="5" s="1"/>
  <c r="Y99" i="5"/>
  <c r="M53" i="5"/>
  <c r="N53" i="5" s="1"/>
  <c r="AK99" i="5"/>
  <c r="M73" i="5"/>
  <c r="N73" i="5" s="1"/>
  <c r="AE99" i="5"/>
  <c r="AE30" i="5"/>
  <c r="S99" i="5"/>
  <c r="V99" i="5"/>
  <c r="AH99" i="5"/>
  <c r="M80" i="5"/>
  <c r="N80" i="5" s="1"/>
  <c r="V30" i="5"/>
  <c r="P76" i="5"/>
  <c r="P30" i="5"/>
  <c r="AB76" i="5"/>
  <c r="M30" i="5"/>
  <c r="N30" i="5" s="1"/>
  <c r="Q30" i="5" s="1"/>
  <c r="M99" i="5"/>
  <c r="N99" i="5" s="1"/>
  <c r="Q99" i="5" s="1"/>
  <c r="O99" i="5" s="1"/>
  <c r="AH30" i="5"/>
  <c r="D40" i="3"/>
  <c r="D45" i="3"/>
  <c r="D35" i="3"/>
  <c r="D39" i="3"/>
  <c r="D41" i="3"/>
  <c r="N165" i="5"/>
  <c r="N133" i="5"/>
  <c r="AH76" i="5"/>
  <c r="M91" i="5"/>
  <c r="N91" i="5" s="1"/>
  <c r="M85" i="5"/>
  <c r="N85" i="5" s="1"/>
  <c r="M103" i="5"/>
  <c r="N103" i="5" s="1"/>
  <c r="Q103" i="5" s="1"/>
  <c r="T103" i="5" s="1"/>
  <c r="W103" i="5" s="1"/>
  <c r="Z103" i="5" s="1"/>
  <c r="AC103" i="5" s="1"/>
  <c r="AF103" i="5" s="1"/>
  <c r="AI103" i="5" s="1"/>
  <c r="AL103" i="5" s="1"/>
  <c r="AO103" i="5" s="1"/>
  <c r="S76" i="5"/>
  <c r="AB30" i="5"/>
  <c r="AB99" i="5"/>
  <c r="Y78" i="5"/>
  <c r="V76" i="5"/>
  <c r="N58" i="5"/>
  <c r="N160" i="5"/>
  <c r="Q160" i="5" s="1"/>
  <c r="T160" i="5" s="1"/>
  <c r="W160" i="5" s="1"/>
  <c r="Z160" i="5" s="1"/>
  <c r="N109" i="5"/>
  <c r="N129" i="5"/>
  <c r="N162" i="5"/>
  <c r="Q162" i="5" s="1"/>
  <c r="N63" i="5"/>
  <c r="N88" i="5"/>
  <c r="N64" i="5"/>
  <c r="N132" i="5"/>
  <c r="N161" i="5"/>
  <c r="Q161" i="5" s="1"/>
  <c r="T161" i="5" s="1"/>
  <c r="N81" i="5"/>
  <c r="N61" i="5"/>
  <c r="N62" i="5"/>
  <c r="N51" i="5"/>
  <c r="N93" i="5"/>
  <c r="M28" i="5"/>
  <c r="N28" i="5" s="1"/>
  <c r="Q28" i="5" s="1"/>
  <c r="T28" i="5" s="1"/>
  <c r="W28" i="5" s="1"/>
  <c r="Z28" i="5" s="1"/>
  <c r="AC28" i="5" s="1"/>
  <c r="AF28" i="5" s="1"/>
  <c r="AI28" i="5" s="1"/>
  <c r="AL28" i="5" s="1"/>
  <c r="AO28" i="5" s="1"/>
  <c r="N111" i="5"/>
  <c r="Q111" i="5" s="1"/>
  <c r="T111" i="5" s="1"/>
  <c r="R111" i="5" s="1"/>
  <c r="N167" i="5"/>
  <c r="N87" i="5"/>
  <c r="N57" i="5"/>
  <c r="N50" i="5"/>
  <c r="N41" i="5"/>
  <c r="N142" i="5"/>
  <c r="N166" i="5"/>
  <c r="N168" i="5"/>
  <c r="Q168" i="5" s="1"/>
  <c r="T168" i="5" s="1"/>
  <c r="N155" i="5"/>
  <c r="Q155" i="5" s="1"/>
  <c r="N40" i="5"/>
  <c r="N76" i="5"/>
  <c r="N134" i="5"/>
  <c r="Q134" i="5" s="1"/>
  <c r="T134" i="5" s="1"/>
  <c r="N164" i="5"/>
  <c r="M46" i="5"/>
  <c r="N46" i="5" s="1"/>
  <c r="N156" i="5"/>
  <c r="Q156" i="5" s="1"/>
  <c r="T156" i="5" s="1"/>
  <c r="W156" i="5" s="1"/>
  <c r="Z156" i="5" s="1"/>
  <c r="N65" i="5"/>
  <c r="N150" i="5"/>
  <c r="Q150" i="5" s="1"/>
  <c r="T150" i="5" s="1"/>
  <c r="W150" i="5" s="1"/>
  <c r="N143" i="5"/>
  <c r="J62" i="9"/>
  <c r="I65" i="9"/>
  <c r="B28" i="4" s="1"/>
  <c r="B27" i="4" s="1"/>
  <c r="K128" i="5"/>
  <c r="K118" i="5"/>
  <c r="K95" i="5"/>
  <c r="K67" i="5"/>
  <c r="K72" i="5"/>
  <c r="K82" i="5"/>
  <c r="K59" i="5"/>
  <c r="K49" i="5"/>
  <c r="K44" i="5"/>
  <c r="K36" i="5"/>
  <c r="K26" i="5"/>
  <c r="K21" i="5"/>
  <c r="S78" i="5"/>
  <c r="S124" i="5"/>
  <c r="N110" i="5"/>
  <c r="N139" i="5"/>
  <c r="P78" i="5"/>
  <c r="P124" i="5"/>
  <c r="AH58" i="3"/>
  <c r="R29" i="4" s="1"/>
  <c r="AK60" i="5" s="1"/>
  <c r="M97" i="5"/>
  <c r="N97" i="5" s="1"/>
  <c r="Q97" i="5" s="1"/>
  <c r="T97" i="5" s="1"/>
  <c r="W97" i="5" s="1"/>
  <c r="Z97" i="5" s="1"/>
  <c r="AC97" i="5" s="1"/>
  <c r="AF97" i="5" s="1"/>
  <c r="AI97" i="5" s="1"/>
  <c r="AL97" i="5" s="1"/>
  <c r="AO97" i="5" s="1"/>
  <c r="M25" i="5"/>
  <c r="N25" i="5" s="1"/>
  <c r="M120" i="5"/>
  <c r="N120" i="5" s="1"/>
  <c r="Q120" i="5" s="1"/>
  <c r="T120" i="5" s="1"/>
  <c r="W120" i="5" s="1"/>
  <c r="Z120" i="5" s="1"/>
  <c r="AC120" i="5" s="1"/>
  <c r="AF120" i="5" s="1"/>
  <c r="AI120" i="5" s="1"/>
  <c r="AL120" i="5" s="1"/>
  <c r="AO120" i="5" s="1"/>
  <c r="V78" i="5"/>
  <c r="V124" i="5"/>
  <c r="M98" i="5"/>
  <c r="N98" i="5" s="1"/>
  <c r="Q98" i="5" s="1"/>
  <c r="T98" i="5" s="1"/>
  <c r="W98" i="5" s="1"/>
  <c r="Z98" i="5" s="1"/>
  <c r="AC98" i="5" s="1"/>
  <c r="AF98" i="5" s="1"/>
  <c r="AI98" i="5" s="1"/>
  <c r="AL98" i="5" s="1"/>
  <c r="AO98" i="5" s="1"/>
  <c r="M104" i="5"/>
  <c r="N104" i="5" s="1"/>
  <c r="Q104" i="5" s="1"/>
  <c r="T104" i="5" s="1"/>
  <c r="W104" i="5" s="1"/>
  <c r="Z104" i="5" s="1"/>
  <c r="AC104" i="5" s="1"/>
  <c r="AF104" i="5" s="1"/>
  <c r="AI104" i="5" s="1"/>
  <c r="AL104" i="5" s="1"/>
  <c r="AO104" i="5" s="1"/>
  <c r="M29" i="5"/>
  <c r="N29" i="5" s="1"/>
  <c r="Q29" i="5" s="1"/>
  <c r="T29" i="5" s="1"/>
  <c r="W29" i="5" s="1"/>
  <c r="Z29" i="5" s="1"/>
  <c r="AC29" i="5" s="1"/>
  <c r="AF29" i="5" s="1"/>
  <c r="AI29" i="5" s="1"/>
  <c r="AL29" i="5" s="1"/>
  <c r="AO29" i="5" s="1"/>
  <c r="AB58" i="3"/>
  <c r="N29" i="4" s="1"/>
  <c r="AE60" i="5" s="1"/>
  <c r="K151" i="5"/>
  <c r="N149" i="5"/>
  <c r="Q149" i="5" s="1"/>
  <c r="AH124" i="5"/>
  <c r="AH78" i="5"/>
  <c r="D13" i="3"/>
  <c r="D16" i="3"/>
  <c r="D18" i="3"/>
  <c r="D22" i="3"/>
  <c r="D17" i="3"/>
  <c r="D23" i="3"/>
  <c r="D19" i="3"/>
  <c r="D21" i="3"/>
  <c r="D14" i="3"/>
  <c r="D12" i="3"/>
  <c r="D20" i="3"/>
  <c r="D15" i="3"/>
  <c r="D24" i="3"/>
  <c r="M22" i="5"/>
  <c r="N22" i="5" s="1"/>
  <c r="M39" i="5"/>
  <c r="N39" i="5" s="1"/>
  <c r="N52" i="5"/>
  <c r="M69" i="5"/>
  <c r="N69" i="5" s="1"/>
  <c r="X58" i="3"/>
  <c r="L29" i="4" s="1"/>
  <c r="AB60" i="5" s="1"/>
  <c r="Y124" i="5"/>
  <c r="D36" i="3"/>
  <c r="D47" i="3"/>
  <c r="D42" i="3"/>
  <c r="D37" i="3"/>
  <c r="D43" i="3"/>
  <c r="D38" i="3"/>
  <c r="D44" i="3"/>
  <c r="K145" i="5"/>
  <c r="J64" i="9"/>
  <c r="J67" i="9"/>
  <c r="J66" i="9"/>
  <c r="I69" i="9"/>
  <c r="B24" i="4" s="1"/>
  <c r="E44" i="9"/>
  <c r="G47" i="9"/>
  <c r="G51" i="9"/>
  <c r="H43" i="9"/>
  <c r="D47" i="9"/>
  <c r="D51" i="9"/>
  <c r="E43" i="9"/>
  <c r="G46" i="9"/>
  <c r="G50" i="9"/>
  <c r="I53" i="9"/>
  <c r="D48" i="9"/>
  <c r="H52" i="9"/>
  <c r="D50" i="9"/>
  <c r="F47" i="9"/>
  <c r="H44" i="9"/>
  <c r="D52" i="9"/>
  <c r="F49" i="9"/>
  <c r="H46" i="9"/>
  <c r="D44" i="9"/>
  <c r="G52" i="9"/>
  <c r="I49" i="9"/>
  <c r="E47" i="9"/>
  <c r="G44" i="9"/>
  <c r="D53" i="9"/>
  <c r="F50" i="9"/>
  <c r="H47" i="9"/>
  <c r="D45" i="9"/>
  <c r="G53" i="9"/>
  <c r="I50" i="9"/>
  <c r="E48" i="9"/>
  <c r="G45" i="9"/>
  <c r="BM22" i="9" l="1"/>
  <c r="BQ22" i="9"/>
  <c r="AJ22" i="9"/>
  <c r="BK22" i="9"/>
  <c r="BD22" i="9"/>
  <c r="AW22" i="9"/>
  <c r="AD22" i="9"/>
  <c r="BF22" i="9"/>
  <c r="BH22" i="9"/>
  <c r="AH22" i="9"/>
  <c r="BN22" i="9"/>
  <c r="BX22" i="9"/>
  <c r="BS22" i="9"/>
  <c r="AM22" i="9"/>
  <c r="AC22" i="9"/>
  <c r="AQ22" i="9"/>
  <c r="AS22" i="9"/>
  <c r="BG22" i="9"/>
  <c r="AA22" i="9"/>
  <c r="BB22" i="9"/>
  <c r="BE22" i="9"/>
  <c r="BR22" i="9"/>
  <c r="BW22" i="9"/>
  <c r="BP22" i="9"/>
  <c r="BJ22" i="9"/>
  <c r="BI22" i="9"/>
  <c r="AE22" i="9"/>
  <c r="AB22" i="9"/>
  <c r="BT22" i="9"/>
  <c r="AN22" i="9"/>
  <c r="AG22" i="9"/>
  <c r="AL22" i="9"/>
  <c r="AY22" i="9"/>
  <c r="AR22" i="9"/>
  <c r="AK22" i="9"/>
  <c r="AT22" i="9"/>
  <c r="BC22" i="9"/>
  <c r="AV22" i="9"/>
  <c r="BV22" i="9"/>
  <c r="BA22" i="9"/>
  <c r="AX22" i="9"/>
  <c r="AU22" i="9"/>
  <c r="AF22" i="9"/>
  <c r="BL22" i="9"/>
  <c r="AP22" i="9"/>
  <c r="AO22" i="9"/>
  <c r="BU22" i="9"/>
  <c r="AI22" i="9"/>
  <c r="BO22" i="9"/>
  <c r="D16" i="4"/>
  <c r="P56" i="5" s="1"/>
  <c r="M77" i="5"/>
  <c r="N77" i="5" s="1"/>
  <c r="AL77" i="5" s="1"/>
  <c r="I118" i="5"/>
  <c r="J118" i="5" s="1"/>
  <c r="L118" i="5" s="1"/>
  <c r="T16" i="4"/>
  <c r="AN94" i="5" s="1"/>
  <c r="P16" i="4"/>
  <c r="AH127" i="5" s="1"/>
  <c r="H16" i="4"/>
  <c r="V56" i="5" s="1"/>
  <c r="I72" i="5"/>
  <c r="J72" i="5" s="1"/>
  <c r="L72" i="5" s="1"/>
  <c r="M94" i="5"/>
  <c r="N94" i="5" s="1"/>
  <c r="T94" i="5" s="1"/>
  <c r="B5" i="4"/>
  <c r="Y5" i="9"/>
  <c r="J59" i="9"/>
  <c r="B8" i="4"/>
  <c r="L38" i="9"/>
  <c r="E81" i="3"/>
  <c r="G81" i="3" s="1"/>
  <c r="F81" i="3" s="1"/>
  <c r="B22" i="4"/>
  <c r="L29" i="9"/>
  <c r="X5" i="9"/>
  <c r="L37" i="9"/>
  <c r="L34" i="9"/>
  <c r="L33" i="9"/>
  <c r="M56" i="5"/>
  <c r="N56" i="5" s="1"/>
  <c r="AL56" i="5" s="1"/>
  <c r="M127" i="5"/>
  <c r="N127" i="5" s="1"/>
  <c r="Q127" i="5" s="1"/>
  <c r="AC84" i="3"/>
  <c r="G84" i="3"/>
  <c r="K84" i="3"/>
  <c r="S84" i="3"/>
  <c r="AI84" i="3"/>
  <c r="M84" i="3"/>
  <c r="AE84" i="3"/>
  <c r="Y84" i="3"/>
  <c r="W84" i="3"/>
  <c r="AB127" i="5"/>
  <c r="AB56" i="5"/>
  <c r="M85" i="3"/>
  <c r="W85" i="3"/>
  <c r="K85" i="3"/>
  <c r="Y85" i="3"/>
  <c r="AI85" i="3"/>
  <c r="AC85" i="3"/>
  <c r="S85" i="3"/>
  <c r="AE85" i="3"/>
  <c r="G85" i="3"/>
  <c r="L32" i="9"/>
  <c r="L31" i="9"/>
  <c r="L35" i="9"/>
  <c r="J60" i="9"/>
  <c r="B6" i="4"/>
  <c r="L36" i="9"/>
  <c r="AN23" i="5"/>
  <c r="T22" i="4"/>
  <c r="AN114" i="5" s="1"/>
  <c r="G83" i="3"/>
  <c r="K83" i="3"/>
  <c r="AE83" i="3"/>
  <c r="S83" i="3"/>
  <c r="AC83" i="3"/>
  <c r="Y83" i="3"/>
  <c r="AI83" i="3"/>
  <c r="M83" i="3"/>
  <c r="W83" i="3"/>
  <c r="B7" i="4"/>
  <c r="L30" i="9"/>
  <c r="Z5" i="9"/>
  <c r="L40" i="9"/>
  <c r="L39" i="9"/>
  <c r="W5" i="9"/>
  <c r="D54" i="3"/>
  <c r="AF140" i="5"/>
  <c r="AD140" i="5" s="1"/>
  <c r="AM35" i="5"/>
  <c r="Q140" i="5"/>
  <c r="O140" i="5" s="1"/>
  <c r="Z140" i="5"/>
  <c r="X140" i="5" s="1"/>
  <c r="AI140" i="5"/>
  <c r="AG140" i="5" s="1"/>
  <c r="AO140" i="5"/>
  <c r="AM140" i="5" s="1"/>
  <c r="AR140" i="5"/>
  <c r="AP140" i="5" s="1"/>
  <c r="T140" i="5"/>
  <c r="R140" i="5" s="1"/>
  <c r="AL140" i="5"/>
  <c r="AJ140" i="5" s="1"/>
  <c r="W140" i="5"/>
  <c r="U140" i="5" s="1"/>
  <c r="I21" i="5"/>
  <c r="J21" i="5" s="1"/>
  <c r="L21" i="5" s="1"/>
  <c r="I67" i="5"/>
  <c r="J67" i="5" s="1"/>
  <c r="L67" i="5" s="1"/>
  <c r="I136" i="5"/>
  <c r="J136" i="5" s="1"/>
  <c r="L136" i="5" s="1"/>
  <c r="I36" i="5"/>
  <c r="J36" i="5" s="1"/>
  <c r="L36" i="5" s="1"/>
  <c r="I49" i="5"/>
  <c r="J49" i="5" s="1"/>
  <c r="L49" i="5" s="1"/>
  <c r="I82" i="5"/>
  <c r="J82" i="5" s="1"/>
  <c r="L82" i="5" s="1"/>
  <c r="I59" i="5"/>
  <c r="J59" i="5" s="1"/>
  <c r="L59" i="5" s="1"/>
  <c r="I95" i="5"/>
  <c r="J95" i="5" s="1"/>
  <c r="L95" i="5" s="1"/>
  <c r="I128" i="5"/>
  <c r="J128" i="5" s="1"/>
  <c r="L128" i="5" s="1"/>
  <c r="I26" i="5"/>
  <c r="J26" i="5" s="1"/>
  <c r="L26" i="5" s="1"/>
  <c r="I44" i="5"/>
  <c r="J44" i="5" s="1"/>
  <c r="L44" i="5" s="1"/>
  <c r="I105" i="5"/>
  <c r="J105" i="5" s="1"/>
  <c r="L105" i="5" s="1"/>
  <c r="I113" i="5"/>
  <c r="J113" i="5" s="1"/>
  <c r="L113" i="5" s="1"/>
  <c r="I151" i="5"/>
  <c r="I163" i="5"/>
  <c r="J163" i="5" s="1"/>
  <c r="L163" i="5" s="1"/>
  <c r="I90" i="5"/>
  <c r="J90" i="5" s="1"/>
  <c r="L90" i="5" s="1"/>
  <c r="I157" i="5"/>
  <c r="I145" i="5"/>
  <c r="J145" i="5" s="1"/>
  <c r="L145" i="5" s="1"/>
  <c r="AR97" i="5"/>
  <c r="AR74" i="5"/>
  <c r="AP74" i="5" s="1"/>
  <c r="AO74" i="5"/>
  <c r="AM74" i="5" s="1"/>
  <c r="AO46" i="5"/>
  <c r="AR46" i="5"/>
  <c r="AR76" i="5"/>
  <c r="AP76" i="5" s="1"/>
  <c r="AO76" i="5"/>
  <c r="AM76" i="5" s="1"/>
  <c r="AF166" i="5"/>
  <c r="AD166" i="5" s="1"/>
  <c r="AR166" i="5"/>
  <c r="AP166" i="5" s="1"/>
  <c r="AO166" i="5"/>
  <c r="AM166" i="5" s="1"/>
  <c r="Z41" i="5"/>
  <c r="X41" i="5" s="1"/>
  <c r="AO41" i="5"/>
  <c r="AM41" i="5" s="1"/>
  <c r="AR41" i="5"/>
  <c r="AP41" i="5" s="1"/>
  <c r="Q167" i="5"/>
  <c r="O167" i="5" s="1"/>
  <c r="AO167" i="5"/>
  <c r="AM167" i="5" s="1"/>
  <c r="AR167" i="5"/>
  <c r="AP167" i="5" s="1"/>
  <c r="Q51" i="5"/>
  <c r="AO51" i="5"/>
  <c r="AR51" i="5"/>
  <c r="T63" i="5"/>
  <c r="AO63" i="5"/>
  <c r="AM63" i="5" s="1"/>
  <c r="AR63" i="5"/>
  <c r="AR91" i="5"/>
  <c r="AO91" i="5"/>
  <c r="AM91" i="5" s="1"/>
  <c r="AC165" i="5"/>
  <c r="AA165" i="5" s="1"/>
  <c r="AO165" i="5"/>
  <c r="AM165" i="5" s="1"/>
  <c r="AR165" i="5"/>
  <c r="AP165" i="5" s="1"/>
  <c r="AI70" i="5"/>
  <c r="AR70" i="5"/>
  <c r="AO70" i="5"/>
  <c r="AM70" i="5" s="1"/>
  <c r="T83" i="5"/>
  <c r="AO83" i="5"/>
  <c r="AM83" i="5" s="1"/>
  <c r="AR83" i="5"/>
  <c r="AP83" i="5" s="1"/>
  <c r="T144" i="5"/>
  <c r="R144" i="5" s="1"/>
  <c r="AR144" i="5"/>
  <c r="AP144" i="5" s="1"/>
  <c r="AO144" i="5"/>
  <c r="AM144" i="5" s="1"/>
  <c r="AO69" i="5"/>
  <c r="AM69" i="5" s="1"/>
  <c r="AR69" i="5"/>
  <c r="AP69" i="5" s="1"/>
  <c r="AR52" i="5"/>
  <c r="AP52" i="5" s="1"/>
  <c r="AO52" i="5"/>
  <c r="AM52" i="5" s="1"/>
  <c r="AM29" i="5"/>
  <c r="AR29" i="5"/>
  <c r="AP29" i="5" s="1"/>
  <c r="AR110" i="5"/>
  <c r="AP110" i="5" s="1"/>
  <c r="AO110" i="5"/>
  <c r="AM110" i="5" s="1"/>
  <c r="AR164" i="5"/>
  <c r="AP164" i="5" s="1"/>
  <c r="AO164" i="5"/>
  <c r="AM164" i="5" s="1"/>
  <c r="Z40" i="5"/>
  <c r="X40" i="5" s="1"/>
  <c r="AR40" i="5"/>
  <c r="AP40" i="5" s="1"/>
  <c r="AO40" i="5"/>
  <c r="AM40" i="5" s="1"/>
  <c r="AI50" i="5"/>
  <c r="AR50" i="5"/>
  <c r="AO50" i="5"/>
  <c r="T62" i="5"/>
  <c r="AR62" i="5"/>
  <c r="AO62" i="5"/>
  <c r="AM62" i="5" s="1"/>
  <c r="Z132" i="5"/>
  <c r="X132" i="5" s="1"/>
  <c r="AR132" i="5"/>
  <c r="AP132" i="5" s="1"/>
  <c r="AO132" i="5"/>
  <c r="AM132" i="5" s="1"/>
  <c r="AL80" i="5"/>
  <c r="AR80" i="5"/>
  <c r="AP80" i="5" s="1"/>
  <c r="AO80" i="5"/>
  <c r="AM80" i="5" s="1"/>
  <c r="Z53" i="5"/>
  <c r="AO53" i="5"/>
  <c r="AM53" i="5" s="1"/>
  <c r="AR53" i="5"/>
  <c r="AP53" i="5" s="1"/>
  <c r="AL92" i="5"/>
  <c r="AR92" i="5"/>
  <c r="AO92" i="5"/>
  <c r="Z54" i="5"/>
  <c r="X54" i="5" s="1"/>
  <c r="AR54" i="5"/>
  <c r="AP54" i="5" s="1"/>
  <c r="AO54" i="5"/>
  <c r="AM54" i="5" s="1"/>
  <c r="AO39" i="5"/>
  <c r="AM39" i="5" s="1"/>
  <c r="AR39" i="5"/>
  <c r="AP39" i="5" s="1"/>
  <c r="AR104" i="5"/>
  <c r="AP104" i="5" s="1"/>
  <c r="AM104" i="5"/>
  <c r="AR120" i="5"/>
  <c r="Z65" i="5"/>
  <c r="X65" i="5" s="1"/>
  <c r="AO65" i="5"/>
  <c r="AM65" i="5" s="1"/>
  <c r="AR65" i="5"/>
  <c r="AP65" i="5" s="1"/>
  <c r="AO71" i="5"/>
  <c r="AR71" i="5"/>
  <c r="Z57" i="5"/>
  <c r="AO57" i="5"/>
  <c r="AM57" i="5" s="1"/>
  <c r="AR57" i="5"/>
  <c r="AP57" i="5" s="1"/>
  <c r="AR28" i="5"/>
  <c r="AL61" i="5"/>
  <c r="AO61" i="5"/>
  <c r="AM61" i="5" s="1"/>
  <c r="AR61" i="5"/>
  <c r="AC64" i="5"/>
  <c r="AA64" i="5" s="1"/>
  <c r="AR64" i="5"/>
  <c r="AP64" i="5" s="1"/>
  <c r="AO64" i="5"/>
  <c r="AM64" i="5" s="1"/>
  <c r="Q129" i="5"/>
  <c r="O129" i="5" s="1"/>
  <c r="AO129" i="5"/>
  <c r="AM129" i="5" s="1"/>
  <c r="AR129" i="5"/>
  <c r="AI58" i="5"/>
  <c r="AR58" i="5"/>
  <c r="AP58" i="5" s="1"/>
  <c r="AO58" i="5"/>
  <c r="AM58" i="5" s="1"/>
  <c r="AR103" i="5"/>
  <c r="AP103" i="5" s="1"/>
  <c r="AM103" i="5"/>
  <c r="W73" i="5"/>
  <c r="AO73" i="5"/>
  <c r="AM73" i="5" s="1"/>
  <c r="AR73" i="5"/>
  <c r="AP73" i="5" s="1"/>
  <c r="AF141" i="5"/>
  <c r="AD141" i="5" s="1"/>
  <c r="AO141" i="5"/>
  <c r="AM141" i="5" s="1"/>
  <c r="AR141" i="5"/>
  <c r="AP141" i="5" s="1"/>
  <c r="AI75" i="5"/>
  <c r="AO75" i="5"/>
  <c r="AM75" i="5" s="1"/>
  <c r="AR75" i="5"/>
  <c r="AP75" i="5" s="1"/>
  <c r="AO22" i="5"/>
  <c r="AM22" i="5" s="1"/>
  <c r="AR22" i="5"/>
  <c r="AP22" i="5" s="1"/>
  <c r="AR98" i="5"/>
  <c r="AP98" i="5" s="1"/>
  <c r="AM98" i="5"/>
  <c r="AO25" i="5"/>
  <c r="AM25" i="5" s="1"/>
  <c r="AR25" i="5"/>
  <c r="AP25" i="5" s="1"/>
  <c r="AO139" i="5"/>
  <c r="AM139" i="5" s="1"/>
  <c r="AR139" i="5"/>
  <c r="AP139" i="5" s="1"/>
  <c r="Z143" i="5"/>
  <c r="X143" i="5" s="1"/>
  <c r="AO143" i="5"/>
  <c r="AM143" i="5" s="1"/>
  <c r="AR143" i="5"/>
  <c r="AP143" i="5" s="1"/>
  <c r="T142" i="5"/>
  <c r="R142" i="5" s="1"/>
  <c r="AR142" i="5"/>
  <c r="AP142" i="5" s="1"/>
  <c r="AO142" i="5"/>
  <c r="AM142" i="5" s="1"/>
  <c r="AF87" i="5"/>
  <c r="AD87" i="5" s="1"/>
  <c r="AO87" i="5"/>
  <c r="AM87" i="5" s="1"/>
  <c r="AR87" i="5"/>
  <c r="AP87" i="5" s="1"/>
  <c r="T93" i="5"/>
  <c r="AR93" i="5"/>
  <c r="AO93" i="5"/>
  <c r="AM93" i="5" s="1"/>
  <c r="W81" i="5"/>
  <c r="AO81" i="5"/>
  <c r="AM81" i="5" s="1"/>
  <c r="AR81" i="5"/>
  <c r="AP81" i="5" s="1"/>
  <c r="AF88" i="5"/>
  <c r="AD88" i="5" s="1"/>
  <c r="AO88" i="5"/>
  <c r="AM88" i="5" s="1"/>
  <c r="AR88" i="5"/>
  <c r="AP88" i="5" s="1"/>
  <c r="W109" i="5"/>
  <c r="U109" i="5" s="1"/>
  <c r="AO109" i="5"/>
  <c r="AM109" i="5" s="1"/>
  <c r="AR109" i="5"/>
  <c r="AR85" i="5"/>
  <c r="AP85" i="5" s="1"/>
  <c r="AO85" i="5"/>
  <c r="AM85" i="5" s="1"/>
  <c r="Z133" i="5"/>
  <c r="X133" i="5" s="1"/>
  <c r="AO133" i="5"/>
  <c r="AM133" i="5" s="1"/>
  <c r="AR133" i="5"/>
  <c r="AP133" i="5" s="1"/>
  <c r="AI86" i="5"/>
  <c r="AG86" i="5" s="1"/>
  <c r="AO86" i="5"/>
  <c r="AM86" i="5" s="1"/>
  <c r="AR86" i="5"/>
  <c r="AP86" i="5" s="1"/>
  <c r="G82" i="3"/>
  <c r="F82" i="3" s="1"/>
  <c r="K82" i="3"/>
  <c r="Y82" i="3"/>
  <c r="X82" i="3" s="1"/>
  <c r="AE82" i="3"/>
  <c r="AD82" i="3" s="1"/>
  <c r="S82" i="3"/>
  <c r="R82" i="3" s="1"/>
  <c r="AI82" i="3"/>
  <c r="W82" i="3"/>
  <c r="M82" i="3"/>
  <c r="L82" i="3" s="1"/>
  <c r="AC82" i="3"/>
  <c r="AI141" i="5"/>
  <c r="AG141" i="5" s="1"/>
  <c r="AL83" i="5"/>
  <c r="AI144" i="5"/>
  <c r="AG144" i="5" s="1"/>
  <c r="AI83" i="5"/>
  <c r="AF144" i="5"/>
  <c r="AD144" i="5" s="1"/>
  <c r="AC83" i="5"/>
  <c r="Q144" i="5"/>
  <c r="O144" i="5" s="1"/>
  <c r="T86" i="5"/>
  <c r="R86" i="5" s="1"/>
  <c r="T92" i="5"/>
  <c r="W75" i="5"/>
  <c r="AL141" i="5"/>
  <c r="AJ141" i="5" s="1"/>
  <c r="T75" i="5"/>
  <c r="T141" i="5"/>
  <c r="R141" i="5" s="1"/>
  <c r="T42" i="5"/>
  <c r="W42" i="5" s="1"/>
  <c r="Q141" i="5"/>
  <c r="O141" i="5" s="1"/>
  <c r="AC75" i="5"/>
  <c r="AL75" i="5"/>
  <c r="Z141" i="5"/>
  <c r="X141" i="5" s="1"/>
  <c r="AF75" i="5"/>
  <c r="Q75" i="5"/>
  <c r="W141" i="5"/>
  <c r="U141" i="5" s="1"/>
  <c r="AC141" i="5"/>
  <c r="AA141" i="5" s="1"/>
  <c r="W144" i="5"/>
  <c r="U144" i="5" s="1"/>
  <c r="Z144" i="5"/>
  <c r="X144" i="5" s="1"/>
  <c r="AC86" i="5"/>
  <c r="AA86" i="5" s="1"/>
  <c r="W86" i="5"/>
  <c r="U86" i="5" s="1"/>
  <c r="Z86" i="5"/>
  <c r="X86" i="5" s="1"/>
  <c r="Q83" i="5"/>
  <c r="Z83" i="5"/>
  <c r="Q86" i="5"/>
  <c r="O86" i="5" s="1"/>
  <c r="AL86" i="5"/>
  <c r="AJ86" i="5" s="1"/>
  <c r="W83" i="5"/>
  <c r="AF83" i="5"/>
  <c r="Z75" i="5"/>
  <c r="K135" i="5"/>
  <c r="T54" i="5"/>
  <c r="R54" i="5" s="1"/>
  <c r="AI92" i="5"/>
  <c r="AC54" i="5"/>
  <c r="AA54" i="5" s="1"/>
  <c r="Q54" i="5"/>
  <c r="O54" i="5" s="1"/>
  <c r="AC92" i="5"/>
  <c r="Q92" i="5"/>
  <c r="AF54" i="5"/>
  <c r="AD54" i="5" s="1"/>
  <c r="AL54" i="5"/>
  <c r="AJ54" i="5" s="1"/>
  <c r="AI54" i="5"/>
  <c r="AG54" i="5" s="1"/>
  <c r="W54" i="5"/>
  <c r="U54" i="5" s="1"/>
  <c r="Z92" i="5"/>
  <c r="W92" i="5"/>
  <c r="AF92" i="5"/>
  <c r="AF86" i="5"/>
  <c r="AD86" i="5" s="1"/>
  <c r="AL144" i="5"/>
  <c r="AJ144" i="5" s="1"/>
  <c r="AC144" i="5"/>
  <c r="AA144" i="5" s="1"/>
  <c r="AC73" i="5"/>
  <c r="T70" i="5"/>
  <c r="AF73" i="5"/>
  <c r="AL73" i="5"/>
  <c r="AI73" i="5"/>
  <c r="Q73" i="5"/>
  <c r="T73" i="5"/>
  <c r="Z73" i="5"/>
  <c r="AF70" i="5"/>
  <c r="AC70" i="5"/>
  <c r="W70" i="5"/>
  <c r="Z70" i="5"/>
  <c r="Q70" i="5"/>
  <c r="AL70" i="5"/>
  <c r="M100" i="5"/>
  <c r="N100" i="5" s="1"/>
  <c r="Q100" i="5" s="1"/>
  <c r="T100" i="5" s="1"/>
  <c r="W100" i="5" s="1"/>
  <c r="Z100" i="5" s="1"/>
  <c r="AC100" i="5" s="1"/>
  <c r="AF100" i="5" s="1"/>
  <c r="AI100" i="5" s="1"/>
  <c r="AL100" i="5" s="1"/>
  <c r="AO100" i="5" s="1"/>
  <c r="Z80" i="5"/>
  <c r="Q80" i="5"/>
  <c r="T80" i="5"/>
  <c r="AF80" i="5"/>
  <c r="AC80" i="5"/>
  <c r="W80" i="5"/>
  <c r="AI80" i="5"/>
  <c r="O30" i="5"/>
  <c r="M45" i="5"/>
  <c r="N45" i="5" s="1"/>
  <c r="Q82" i="3"/>
  <c r="M68" i="5"/>
  <c r="N68" i="5" s="1"/>
  <c r="M108" i="5"/>
  <c r="N108" i="5" s="1"/>
  <c r="AL133" i="5"/>
  <c r="AJ133" i="5" s="1"/>
  <c r="Z165" i="5"/>
  <c r="X165" i="5" s="1"/>
  <c r="AI165" i="5"/>
  <c r="AG165" i="5" s="1"/>
  <c r="W64" i="5"/>
  <c r="U64" i="5" s="1"/>
  <c r="AL62" i="5"/>
  <c r="T133" i="5"/>
  <c r="R133" i="5" s="1"/>
  <c r="W165" i="5"/>
  <c r="U165" i="5" s="1"/>
  <c r="T99" i="5"/>
  <c r="W99" i="5" s="1"/>
  <c r="T61" i="5"/>
  <c r="Q165" i="5"/>
  <c r="O165" i="5" s="1"/>
  <c r="AL165" i="5"/>
  <c r="AJ165" i="5" s="1"/>
  <c r="AF165" i="5"/>
  <c r="AD165" i="5" s="1"/>
  <c r="T165" i="5"/>
  <c r="R165" i="5" s="1"/>
  <c r="T58" i="5"/>
  <c r="T30" i="5"/>
  <c r="W30" i="5" s="1"/>
  <c r="AI57" i="5"/>
  <c r="T88" i="5"/>
  <c r="R88" i="5" s="1"/>
  <c r="AF41" i="5"/>
  <c r="AD41" i="5" s="1"/>
  <c r="W41" i="5"/>
  <c r="U41" i="5" s="1"/>
  <c r="W87" i="5"/>
  <c r="U87" i="5" s="1"/>
  <c r="T81" i="5"/>
  <c r="AC88" i="5"/>
  <c r="AA88" i="5" s="1"/>
  <c r="Z129" i="5"/>
  <c r="AI81" i="5"/>
  <c r="AC51" i="5"/>
  <c r="Z58" i="5"/>
  <c r="Q61" i="5"/>
  <c r="O61" i="5" s="1"/>
  <c r="AC129" i="5"/>
  <c r="AA129" i="5" s="1"/>
  <c r="AI64" i="5"/>
  <c r="AG64" i="5" s="1"/>
  <c r="AC109" i="5"/>
  <c r="AA109" i="5" s="1"/>
  <c r="AL109" i="5"/>
  <c r="Q88" i="5"/>
  <c r="O88" i="5" s="1"/>
  <c r="AC62" i="5"/>
  <c r="AA62" i="5" s="1"/>
  <c r="W58" i="5"/>
  <c r="T87" i="5"/>
  <c r="R87" i="5" s="1"/>
  <c r="AC87" i="5"/>
  <c r="AA87" i="5" s="1"/>
  <c r="W133" i="5"/>
  <c r="U133" i="5" s="1"/>
  <c r="AI133" i="5"/>
  <c r="AG133" i="5" s="1"/>
  <c r="Q133" i="5"/>
  <c r="O133" i="5" s="1"/>
  <c r="Z81" i="5"/>
  <c r="AF64" i="5"/>
  <c r="AD64" i="5" s="1"/>
  <c r="AF109" i="5"/>
  <c r="AF58" i="5"/>
  <c r="Z87" i="5"/>
  <c r="X87" i="5" s="1"/>
  <c r="AF167" i="5"/>
  <c r="AD167" i="5" s="1"/>
  <c r="Z64" i="5"/>
  <c r="X64" i="5" s="1"/>
  <c r="AL81" i="5"/>
  <c r="Q64" i="5"/>
  <c r="O64" i="5" s="1"/>
  <c r="Z109" i="5"/>
  <c r="AF133" i="5"/>
  <c r="AD133" i="5" s="1"/>
  <c r="W62" i="5"/>
  <c r="U62" i="5" s="1"/>
  <c r="AC133" i="5"/>
  <c r="AA133" i="5" s="1"/>
  <c r="AF81" i="5"/>
  <c r="AL64" i="5"/>
  <c r="AJ64" i="5" s="1"/>
  <c r="AI109" i="5"/>
  <c r="AG109" i="5" s="1"/>
  <c r="AC58" i="5"/>
  <c r="AL58" i="5"/>
  <c r="Q87" i="5"/>
  <c r="O87" i="5" s="1"/>
  <c r="AF65" i="5"/>
  <c r="AD65" i="5" s="1"/>
  <c r="Q58" i="5"/>
  <c r="T109" i="5"/>
  <c r="AC81" i="5"/>
  <c r="Q109" i="5"/>
  <c r="O109" i="5" s="1"/>
  <c r="Q62" i="5"/>
  <c r="O62" i="5" s="1"/>
  <c r="Z62" i="5"/>
  <c r="AC40" i="5"/>
  <c r="AA40" i="5" s="1"/>
  <c r="Q142" i="5"/>
  <c r="O142" i="5" s="1"/>
  <c r="Z88" i="5"/>
  <c r="X88" i="5" s="1"/>
  <c r="M107" i="5"/>
  <c r="N107" i="5" s="1"/>
  <c r="AI61" i="5"/>
  <c r="AG61" i="5" s="1"/>
  <c r="AI142" i="5"/>
  <c r="AG142" i="5" s="1"/>
  <c r="AL88" i="5"/>
  <c r="AJ88" i="5" s="1"/>
  <c r="O161" i="5"/>
  <c r="AF61" i="5"/>
  <c r="AC142" i="5"/>
  <c r="AA142" i="5" s="1"/>
  <c r="O160" i="5"/>
  <c r="M34" i="5"/>
  <c r="N34" i="5" s="1"/>
  <c r="Q34" i="5" s="1"/>
  <c r="T34" i="5" s="1"/>
  <c r="W34" i="5" s="1"/>
  <c r="Z34" i="5" s="1"/>
  <c r="AC34" i="5" s="1"/>
  <c r="AF34" i="5" s="1"/>
  <c r="AI34" i="5" s="1"/>
  <c r="AL34" i="5" s="1"/>
  <c r="AO34" i="5" s="1"/>
  <c r="M31" i="5"/>
  <c r="N31" i="5" s="1"/>
  <c r="Q31" i="5" s="1"/>
  <c r="T31" i="5" s="1"/>
  <c r="W31" i="5" s="1"/>
  <c r="Z31" i="5" s="1"/>
  <c r="AC31" i="5" s="1"/>
  <c r="AF31" i="5" s="1"/>
  <c r="AI31" i="5" s="1"/>
  <c r="AL31" i="5" s="1"/>
  <c r="AO31" i="5" s="1"/>
  <c r="AL41" i="5"/>
  <c r="AJ41" i="5" s="1"/>
  <c r="AC61" i="5"/>
  <c r="AA61" i="5" s="1"/>
  <c r="O134" i="5"/>
  <c r="Z61" i="5"/>
  <c r="AL142" i="5"/>
  <c r="AJ142" i="5" s="1"/>
  <c r="Z142" i="5"/>
  <c r="X142" i="5" s="1"/>
  <c r="U160" i="5"/>
  <c r="AC160" i="5"/>
  <c r="AF160" i="5" s="1"/>
  <c r="AI160" i="5" s="1"/>
  <c r="W167" i="5"/>
  <c r="U167" i="5" s="1"/>
  <c r="Q41" i="5"/>
  <c r="O41" i="5" s="1"/>
  <c r="AC65" i="5"/>
  <c r="AA65" i="5" s="1"/>
  <c r="W61" i="5"/>
  <c r="U61" i="5" s="1"/>
  <c r="W142" i="5"/>
  <c r="U142" i="5" s="1"/>
  <c r="Z51" i="5"/>
  <c r="AL65" i="5"/>
  <c r="AJ65" i="5" s="1"/>
  <c r="AI65" i="5"/>
  <c r="AG65" i="5" s="1"/>
  <c r="Q143" i="5"/>
  <c r="O143" i="5" s="1"/>
  <c r="AF129" i="5"/>
  <c r="W129" i="5"/>
  <c r="U129" i="5" s="1"/>
  <c r="Q132" i="5"/>
  <c r="O132" i="5" s="1"/>
  <c r="AL51" i="5"/>
  <c r="W111" i="5"/>
  <c r="Z111" i="5" s="1"/>
  <c r="AL63" i="5"/>
  <c r="Q65" i="5"/>
  <c r="O65" i="5" s="1"/>
  <c r="AI129" i="5"/>
  <c r="AG129" i="5" s="1"/>
  <c r="AL129" i="5"/>
  <c r="Q166" i="5"/>
  <c r="O166" i="5" s="1"/>
  <c r="Q81" i="5"/>
  <c r="T64" i="5"/>
  <c r="R64" i="5" s="1"/>
  <c r="R150" i="5"/>
  <c r="AI87" i="5"/>
  <c r="AG87" i="5" s="1"/>
  <c r="AL87" i="5"/>
  <c r="AJ87" i="5" s="1"/>
  <c r="AI63" i="5"/>
  <c r="AG63" i="5" s="1"/>
  <c r="T65" i="5"/>
  <c r="R65" i="5" s="1"/>
  <c r="W65" i="5"/>
  <c r="U65" i="5" s="1"/>
  <c r="AL166" i="5"/>
  <c r="AJ166" i="5" s="1"/>
  <c r="O168" i="5"/>
  <c r="T129" i="5"/>
  <c r="Q40" i="5"/>
  <c r="O40" i="5" s="1"/>
  <c r="AI62" i="5"/>
  <c r="AG62" i="5" s="1"/>
  <c r="AF132" i="5"/>
  <c r="AD132" i="5" s="1"/>
  <c r="W63" i="5"/>
  <c r="U63" i="5" s="1"/>
  <c r="AC63" i="5"/>
  <c r="AA63" i="5" s="1"/>
  <c r="Z166" i="5"/>
  <c r="X166" i="5" s="1"/>
  <c r="AL132" i="5"/>
  <c r="AJ132" i="5" s="1"/>
  <c r="W88" i="5"/>
  <c r="U88" i="5" s="1"/>
  <c r="AI88" i="5"/>
  <c r="AG88" i="5" s="1"/>
  <c r="W132" i="5"/>
  <c r="U132" i="5" s="1"/>
  <c r="AI132" i="5"/>
  <c r="AG132" i="5" s="1"/>
  <c r="AI166" i="5"/>
  <c r="AG166" i="5" s="1"/>
  <c r="AF63" i="5"/>
  <c r="Z63" i="5"/>
  <c r="T132" i="5"/>
  <c r="R132" i="5" s="1"/>
  <c r="AC132" i="5"/>
  <c r="AA132" i="5" s="1"/>
  <c r="Q63" i="5"/>
  <c r="O63" i="5" s="1"/>
  <c r="T166" i="5"/>
  <c r="R166" i="5" s="1"/>
  <c r="W166" i="5"/>
  <c r="U166" i="5" s="1"/>
  <c r="T162" i="5"/>
  <c r="O162" i="5"/>
  <c r="T57" i="5"/>
  <c r="AC53" i="5"/>
  <c r="AF51" i="5"/>
  <c r="T51" i="5"/>
  <c r="AF57" i="5"/>
  <c r="W57" i="5"/>
  <c r="AF62" i="5"/>
  <c r="W51" i="5"/>
  <c r="AI51" i="5"/>
  <c r="AI41" i="5"/>
  <c r="AG41" i="5" s="1"/>
  <c r="AC41" i="5"/>
  <c r="AA41" i="5" s="1"/>
  <c r="T41" i="5"/>
  <c r="R41" i="5" s="1"/>
  <c r="AL57" i="5"/>
  <c r="T50" i="5"/>
  <c r="Z50" i="5"/>
  <c r="Q50" i="5"/>
  <c r="AC93" i="5"/>
  <c r="AF93" i="5"/>
  <c r="AF50" i="5"/>
  <c r="T167" i="5"/>
  <c r="R167" i="5" s="1"/>
  <c r="AC143" i="5"/>
  <c r="AA143" i="5" s="1"/>
  <c r="AI93" i="5"/>
  <c r="Z93" i="5"/>
  <c r="AF53" i="5"/>
  <c r="AI53" i="5"/>
  <c r="O156" i="5"/>
  <c r="AC50" i="5"/>
  <c r="AL50" i="5"/>
  <c r="AL53" i="5"/>
  <c r="AL167" i="5"/>
  <c r="AJ167" i="5" s="1"/>
  <c r="Z167" i="5"/>
  <c r="X167" i="5" s="1"/>
  <c r="T143" i="5"/>
  <c r="R143" i="5" s="1"/>
  <c r="AF143" i="5"/>
  <c r="AD143" i="5" s="1"/>
  <c r="Q93" i="5"/>
  <c r="AL93" i="5"/>
  <c r="O111" i="5"/>
  <c r="W50" i="5"/>
  <c r="T53" i="5"/>
  <c r="Q53" i="5"/>
  <c r="Q57" i="5"/>
  <c r="AC57" i="5"/>
  <c r="AI167" i="5"/>
  <c r="AG167" i="5" s="1"/>
  <c r="AC167" i="5"/>
  <c r="AA167" i="5" s="1"/>
  <c r="U156" i="5"/>
  <c r="AC166" i="5"/>
  <c r="AA166" i="5" s="1"/>
  <c r="W143" i="5"/>
  <c r="U143" i="5" s="1"/>
  <c r="W93" i="5"/>
  <c r="AF142" i="5"/>
  <c r="AD142" i="5" s="1"/>
  <c r="W53" i="5"/>
  <c r="W46" i="5"/>
  <c r="AL46" i="5"/>
  <c r="AC46" i="5"/>
  <c r="AF46" i="5"/>
  <c r="Z46" i="5"/>
  <c r="T46" i="5"/>
  <c r="Q46" i="5"/>
  <c r="AI46" i="5"/>
  <c r="R156" i="5"/>
  <c r="AI40" i="5"/>
  <c r="AG40" i="5" s="1"/>
  <c r="AL40" i="5"/>
  <c r="AJ40" i="5" s="1"/>
  <c r="AF164" i="5"/>
  <c r="AD164" i="5" s="1"/>
  <c r="Q164" i="5"/>
  <c r="O164" i="5" s="1"/>
  <c r="W164" i="5"/>
  <c r="U164" i="5" s="1"/>
  <c r="Z164" i="5"/>
  <c r="X164" i="5" s="1"/>
  <c r="T164" i="5"/>
  <c r="R164" i="5" s="1"/>
  <c r="AC164" i="5"/>
  <c r="AA164" i="5" s="1"/>
  <c r="O155" i="5"/>
  <c r="T155" i="5"/>
  <c r="AI164" i="5"/>
  <c r="AG164" i="5" s="1"/>
  <c r="W40" i="5"/>
  <c r="U40" i="5" s="1"/>
  <c r="T40" i="5"/>
  <c r="R40" i="5" s="1"/>
  <c r="AL164" i="5"/>
  <c r="AJ164" i="5" s="1"/>
  <c r="AI143" i="5"/>
  <c r="AG143" i="5" s="1"/>
  <c r="AL143" i="5"/>
  <c r="AJ143" i="5" s="1"/>
  <c r="AF40" i="5"/>
  <c r="AD40" i="5" s="1"/>
  <c r="AF76" i="5"/>
  <c r="AD76" i="5" s="1"/>
  <c r="T76" i="5"/>
  <c r="R76" i="5" s="1"/>
  <c r="AL76" i="5"/>
  <c r="AJ76" i="5" s="1"/>
  <c r="W76" i="5"/>
  <c r="U76" i="5" s="1"/>
  <c r="AI76" i="5"/>
  <c r="AG76" i="5" s="1"/>
  <c r="AC76" i="5"/>
  <c r="AA76" i="5" s="1"/>
  <c r="Z76" i="5"/>
  <c r="X76" i="5" s="1"/>
  <c r="Q76" i="5"/>
  <c r="O76" i="5" s="1"/>
  <c r="O150" i="5"/>
  <c r="K112" i="5"/>
  <c r="AF85" i="5"/>
  <c r="AC85" i="5"/>
  <c r="W85" i="5"/>
  <c r="Z85" i="5"/>
  <c r="AI85" i="5"/>
  <c r="Q85" i="5"/>
  <c r="AL85" i="5"/>
  <c r="T85" i="5"/>
  <c r="AL39" i="5"/>
  <c r="W39" i="5"/>
  <c r="Z39" i="5"/>
  <c r="AC39" i="5"/>
  <c r="T39" i="5"/>
  <c r="AF39" i="5"/>
  <c r="Q39" i="5"/>
  <c r="AI39" i="5"/>
  <c r="AL25" i="5"/>
  <c r="AF25" i="5"/>
  <c r="W25" i="5"/>
  <c r="Q25" i="5"/>
  <c r="T25" i="5"/>
  <c r="AI25" i="5"/>
  <c r="Z25" i="5"/>
  <c r="AC25" i="5"/>
  <c r="U150" i="5"/>
  <c r="Z150" i="5"/>
  <c r="R161" i="5"/>
  <c r="W161" i="5"/>
  <c r="AL91" i="5"/>
  <c r="Q91" i="5"/>
  <c r="Z91" i="5"/>
  <c r="AC91" i="5"/>
  <c r="AF91" i="5"/>
  <c r="T91" i="5"/>
  <c r="W91" i="5"/>
  <c r="AI91" i="5"/>
  <c r="AB124" i="5"/>
  <c r="AB78" i="5"/>
  <c r="O149" i="5"/>
  <c r="T149" i="5"/>
  <c r="AK124" i="5"/>
  <c r="AK78" i="5"/>
  <c r="AF139" i="5"/>
  <c r="AD139" i="5" s="1"/>
  <c r="AC139" i="5"/>
  <c r="AA139" i="5" s="1"/>
  <c r="AL139" i="5"/>
  <c r="AJ139" i="5" s="1"/>
  <c r="Z139" i="5"/>
  <c r="X139" i="5" s="1"/>
  <c r="AI139" i="5"/>
  <c r="AG139" i="5" s="1"/>
  <c r="W139" i="5"/>
  <c r="U139" i="5" s="1"/>
  <c r="Q139" i="5"/>
  <c r="O139" i="5" s="1"/>
  <c r="T139" i="5"/>
  <c r="R139" i="5" s="1"/>
  <c r="W134" i="5"/>
  <c r="R134" i="5"/>
  <c r="W168" i="5"/>
  <c r="R168" i="5"/>
  <c r="D28" i="3" a="1"/>
  <c r="J69" i="9"/>
  <c r="AF69" i="5"/>
  <c r="Q69" i="5"/>
  <c r="Z69" i="5"/>
  <c r="T69" i="5"/>
  <c r="AL69" i="5"/>
  <c r="W69" i="5"/>
  <c r="AC69" i="5"/>
  <c r="AI69" i="5"/>
  <c r="AL52" i="5"/>
  <c r="T52" i="5"/>
  <c r="Z52" i="5"/>
  <c r="W52" i="5"/>
  <c r="AI52" i="5"/>
  <c r="Q52" i="5"/>
  <c r="AC52" i="5"/>
  <c r="AF52" i="5"/>
  <c r="AI22" i="5"/>
  <c r="AC22" i="5"/>
  <c r="W22" i="5"/>
  <c r="T22" i="5"/>
  <c r="Q22" i="5"/>
  <c r="Z22" i="5"/>
  <c r="AL22" i="5"/>
  <c r="AF22" i="5"/>
  <c r="D10" i="3"/>
  <c r="AE124" i="5"/>
  <c r="AE78" i="5"/>
  <c r="Z74" i="5"/>
  <c r="W74" i="5"/>
  <c r="AL74" i="5"/>
  <c r="Q74" i="5"/>
  <c r="AF74" i="5"/>
  <c r="T74" i="5"/>
  <c r="AC74" i="5"/>
  <c r="AI74" i="5"/>
  <c r="Q110" i="5"/>
  <c r="O110" i="5" s="1"/>
  <c r="AL110" i="5"/>
  <c r="AJ110" i="5" s="1"/>
  <c r="Z110" i="5"/>
  <c r="X110" i="5" s="1"/>
  <c r="AC110" i="5"/>
  <c r="AA110" i="5" s="1"/>
  <c r="T110" i="5"/>
  <c r="R110" i="5" s="1"/>
  <c r="W110" i="5"/>
  <c r="U110" i="5" s="1"/>
  <c r="AI110" i="5"/>
  <c r="AG110" i="5" s="1"/>
  <c r="AF110" i="5"/>
  <c r="AD110" i="5" s="1"/>
  <c r="K20" i="5"/>
  <c r="K66" i="5"/>
  <c r="K89" i="5"/>
  <c r="D33" i="3"/>
  <c r="B13" i="4" s="1"/>
  <c r="AL71" i="5"/>
  <c r="AC71" i="5"/>
  <c r="Z71" i="5"/>
  <c r="T71" i="5"/>
  <c r="W71" i="5"/>
  <c r="AI71" i="5"/>
  <c r="Q71" i="5"/>
  <c r="AF71" i="5"/>
  <c r="K43" i="5"/>
  <c r="X156" i="5"/>
  <c r="AC156" i="5"/>
  <c r="D51" i="3" a="1"/>
  <c r="J58" i="9"/>
  <c r="J65" i="9"/>
  <c r="P127" i="5" l="1"/>
  <c r="O127" i="5" s="1"/>
  <c r="AN77" i="5"/>
  <c r="Y81" i="3"/>
  <c r="X81" i="3" s="1"/>
  <c r="L50" i="4" s="1"/>
  <c r="AN125" i="5"/>
  <c r="AN102" i="5"/>
  <c r="AN71" i="5"/>
  <c r="AM71" i="5" s="1"/>
  <c r="AH56" i="5"/>
  <c r="AN126" i="5"/>
  <c r="AN48" i="5"/>
  <c r="AN127" i="5"/>
  <c r="AN56" i="5"/>
  <c r="W77" i="5"/>
  <c r="AC77" i="5"/>
  <c r="T77" i="5"/>
  <c r="AF77" i="5"/>
  <c r="AI77" i="5"/>
  <c r="AR77" i="5"/>
  <c r="AO77" i="5"/>
  <c r="Q77" i="5"/>
  <c r="Z77" i="5"/>
  <c r="AO94" i="5"/>
  <c r="AM94" i="5" s="1"/>
  <c r="AI94" i="5"/>
  <c r="J151" i="5"/>
  <c r="L151" i="5" s="1"/>
  <c r="V127" i="5"/>
  <c r="AK29" i="9" a="1"/>
  <c r="BE29" i="9" a="1"/>
  <c r="AU29" i="9" a="1"/>
  <c r="BO29" i="9" a="1"/>
  <c r="W94" i="5"/>
  <c r="AI56" i="5"/>
  <c r="AL94" i="5"/>
  <c r="Z94" i="5"/>
  <c r="AR94" i="5"/>
  <c r="B4" i="4"/>
  <c r="B63" i="4" s="1"/>
  <c r="Q94" i="5"/>
  <c r="AC94" i="5"/>
  <c r="AF94" i="5"/>
  <c r="W81" i="3"/>
  <c r="AC56" i="5"/>
  <c r="AA56" i="5" s="1"/>
  <c r="Z56" i="5"/>
  <c r="X83" i="3"/>
  <c r="L52" i="4" s="1"/>
  <c r="F85" i="3"/>
  <c r="T54" i="4" s="1"/>
  <c r="L85" i="3"/>
  <c r="D54" i="4" s="1"/>
  <c r="X84" i="3"/>
  <c r="L53" i="4" s="1"/>
  <c r="AC81" i="3"/>
  <c r="AD85" i="3"/>
  <c r="P54" i="4" s="1"/>
  <c r="X85" i="3"/>
  <c r="L54" i="4" s="1"/>
  <c r="T127" i="5"/>
  <c r="W127" i="5" s="1"/>
  <c r="AI81" i="3"/>
  <c r="S81" i="3"/>
  <c r="R81" i="3" s="1"/>
  <c r="H50" i="4" s="1"/>
  <c r="AD83" i="3"/>
  <c r="P52" i="4" s="1"/>
  <c r="R84" i="3"/>
  <c r="H53" i="4" s="1"/>
  <c r="K81" i="3"/>
  <c r="F83" i="3"/>
  <c r="T52" i="4" s="1"/>
  <c r="AD84" i="3"/>
  <c r="P53" i="4" s="1"/>
  <c r="M81" i="3"/>
  <c r="L81" i="3" s="1"/>
  <c r="D50" i="4" s="1"/>
  <c r="AE81" i="3"/>
  <c r="AD81" i="3" s="1"/>
  <c r="P50" i="4" s="1"/>
  <c r="L83" i="3"/>
  <c r="D52" i="4" s="1"/>
  <c r="R83" i="3"/>
  <c r="R85" i="3"/>
  <c r="H54" i="4" s="1"/>
  <c r="L84" i="3"/>
  <c r="D53" i="4" s="1"/>
  <c r="F84" i="3"/>
  <c r="T53" i="4" s="1"/>
  <c r="W56" i="5"/>
  <c r="U56" i="5" s="1"/>
  <c r="AO56" i="5"/>
  <c r="T56" i="5"/>
  <c r="B64" i="4"/>
  <c r="AF56" i="5"/>
  <c r="AR56" i="5"/>
  <c r="AA29" i="9" a="1"/>
  <c r="Q56" i="5"/>
  <c r="O56" i="5" s="1"/>
  <c r="J61" i="9"/>
  <c r="T51" i="4"/>
  <c r="V5" i="9"/>
  <c r="H51" i="4"/>
  <c r="P51" i="4"/>
  <c r="L51" i="4"/>
  <c r="D51" i="4"/>
  <c r="J157" i="5"/>
  <c r="L157" i="5" s="1"/>
  <c r="R42" i="5"/>
  <c r="I66" i="5"/>
  <c r="I112" i="5"/>
  <c r="I20" i="5"/>
  <c r="I135" i="5"/>
  <c r="I43" i="5"/>
  <c r="I89" i="5"/>
  <c r="T68" i="5"/>
  <c r="AR68" i="5"/>
  <c r="AP68" i="5" s="1"/>
  <c r="AO68" i="5"/>
  <c r="AM68" i="5" s="1"/>
  <c r="AR31" i="5"/>
  <c r="AP31" i="5" s="1"/>
  <c r="AM31" i="5"/>
  <c r="Q108" i="5"/>
  <c r="AR108" i="5"/>
  <c r="AO108" i="5"/>
  <c r="AM108" i="5" s="1"/>
  <c r="AR100" i="5"/>
  <c r="AP100" i="5" s="1"/>
  <c r="AM100" i="5"/>
  <c r="AR34" i="5"/>
  <c r="AP34" i="5" s="1"/>
  <c r="AM34" i="5"/>
  <c r="W107" i="5"/>
  <c r="AO107" i="5"/>
  <c r="AM107" i="5" s="1"/>
  <c r="AR107" i="5"/>
  <c r="AI45" i="5"/>
  <c r="AO45" i="5"/>
  <c r="AM45" i="5" s="1"/>
  <c r="AR45" i="5"/>
  <c r="F75" i="3" a="1"/>
  <c r="T50" i="4"/>
  <c r="E37" i="3"/>
  <c r="M116" i="5"/>
  <c r="N116" i="5" s="1"/>
  <c r="AL68" i="5"/>
  <c r="AI68" i="5"/>
  <c r="AC68" i="5"/>
  <c r="M38" i="5"/>
  <c r="N38" i="5" s="1"/>
  <c r="M24" i="5"/>
  <c r="N24" i="5" s="1"/>
  <c r="M47" i="5"/>
  <c r="N47" i="5" s="1"/>
  <c r="AF68" i="5"/>
  <c r="W68" i="5"/>
  <c r="Q78" i="3"/>
  <c r="Z68" i="5"/>
  <c r="Q68" i="5"/>
  <c r="AL45" i="5"/>
  <c r="T45" i="5"/>
  <c r="AC45" i="5"/>
  <c r="AF45" i="5"/>
  <c r="Z45" i="5"/>
  <c r="W45" i="5"/>
  <c r="Q45" i="5"/>
  <c r="AI108" i="5"/>
  <c r="AF108" i="5"/>
  <c r="T108" i="5"/>
  <c r="AC108" i="5"/>
  <c r="AL108" i="5"/>
  <c r="W108" i="5"/>
  <c r="Q80" i="3"/>
  <c r="Z108" i="5"/>
  <c r="R30" i="5"/>
  <c r="AF107" i="5"/>
  <c r="R99" i="5"/>
  <c r="U111" i="5"/>
  <c r="AA160" i="5"/>
  <c r="T107" i="5"/>
  <c r="AI107" i="5"/>
  <c r="Z107" i="5"/>
  <c r="O163" i="5"/>
  <c r="E36" i="3"/>
  <c r="Q107" i="5"/>
  <c r="AL107" i="5"/>
  <c r="R163" i="5"/>
  <c r="E43" i="3"/>
  <c r="AC107" i="5"/>
  <c r="E42" i="3"/>
  <c r="R162" i="5"/>
  <c r="W162" i="5"/>
  <c r="R155" i="5"/>
  <c r="W155" i="5"/>
  <c r="Z30" i="5"/>
  <c r="U30" i="5"/>
  <c r="Q76" i="3"/>
  <c r="Z134" i="5"/>
  <c r="U134" i="5"/>
  <c r="AL160" i="5"/>
  <c r="AG160" i="5"/>
  <c r="Z161" i="5"/>
  <c r="U161" i="5"/>
  <c r="D5" i="10"/>
  <c r="E89" i="3"/>
  <c r="E26" i="3"/>
  <c r="E59" i="3"/>
  <c r="E67" i="3"/>
  <c r="E31" i="3"/>
  <c r="E94" i="3"/>
  <c r="E91" i="3"/>
  <c r="E92" i="3"/>
  <c r="E68" i="3"/>
  <c r="E88" i="3"/>
  <c r="E69" i="3"/>
  <c r="E71" i="3"/>
  <c r="E70" i="3"/>
  <c r="E93" i="3"/>
  <c r="E72" i="3"/>
  <c r="E90" i="3"/>
  <c r="D8" i="3"/>
  <c r="B3" i="4" s="1"/>
  <c r="E47" i="3"/>
  <c r="E44" i="3"/>
  <c r="D52" i="3"/>
  <c r="E52" i="3" s="1"/>
  <c r="D53" i="3"/>
  <c r="E53" i="3" s="1"/>
  <c r="D51" i="3"/>
  <c r="Z42" i="5"/>
  <c r="U42" i="5"/>
  <c r="D30" i="3"/>
  <c r="D28" i="3"/>
  <c r="D29" i="3"/>
  <c r="AF156" i="5"/>
  <c r="AA156" i="5"/>
  <c r="Q77" i="3"/>
  <c r="E12" i="3" a="1"/>
  <c r="E38" i="3"/>
  <c r="Z168" i="5"/>
  <c r="U168" i="5"/>
  <c r="U163" i="5" s="1"/>
  <c r="U99" i="5"/>
  <c r="Z99" i="5"/>
  <c r="E49" i="3"/>
  <c r="E39" i="3"/>
  <c r="E41" i="3"/>
  <c r="E40" i="3"/>
  <c r="E46" i="3"/>
  <c r="E35" i="3"/>
  <c r="E45" i="3"/>
  <c r="E54" i="3"/>
  <c r="K19" i="5"/>
  <c r="M158" i="5"/>
  <c r="N158" i="5" s="1"/>
  <c r="Q158" i="5" s="1"/>
  <c r="T158" i="5" s="1"/>
  <c r="W158" i="5" s="1"/>
  <c r="Z158" i="5" s="1"/>
  <c r="AC158" i="5" s="1"/>
  <c r="AF158" i="5" s="1"/>
  <c r="AI158" i="5" s="1"/>
  <c r="AL158" i="5" s="1"/>
  <c r="AO158" i="5" s="1"/>
  <c r="R149" i="5"/>
  <c r="W149" i="5"/>
  <c r="Q79" i="3"/>
  <c r="AC111" i="5"/>
  <c r="X111" i="5"/>
  <c r="AC150" i="5"/>
  <c r="X150" i="5"/>
  <c r="AM77" i="5" l="1"/>
  <c r="AM56" i="5"/>
  <c r="AG56" i="5"/>
  <c r="M146" i="5"/>
  <c r="N146" i="5" s="1"/>
  <c r="Q146" i="5" s="1"/>
  <c r="T146" i="5" s="1"/>
  <c r="W146" i="5" s="1"/>
  <c r="Z146" i="5" s="1"/>
  <c r="AC146" i="5" s="1"/>
  <c r="M147" i="5"/>
  <c r="N147" i="5" s="1"/>
  <c r="Q147" i="5" s="1"/>
  <c r="T147" i="5" s="1"/>
  <c r="W147" i="5" s="1"/>
  <c r="Z147" i="5" s="1"/>
  <c r="AC147" i="5" s="1"/>
  <c r="U127" i="5"/>
  <c r="AU40" i="9"/>
  <c r="AU31" i="9"/>
  <c r="AU39" i="9"/>
  <c r="AU35" i="9"/>
  <c r="AU38" i="9"/>
  <c r="AU33" i="9"/>
  <c r="AU34" i="9"/>
  <c r="AU29" i="9"/>
  <c r="AU36" i="9"/>
  <c r="AU32" i="9"/>
  <c r="AU37" i="9"/>
  <c r="AU30" i="9"/>
  <c r="BE40" i="9"/>
  <c r="BE37" i="9"/>
  <c r="BE29" i="9"/>
  <c r="BE34" i="9"/>
  <c r="BE33" i="9"/>
  <c r="BE38" i="9"/>
  <c r="BE30" i="9"/>
  <c r="BE35" i="9"/>
  <c r="BE39" i="9"/>
  <c r="BE32" i="9"/>
  <c r="BE36" i="9"/>
  <c r="BE31" i="9"/>
  <c r="AK38" i="9"/>
  <c r="AK30" i="9"/>
  <c r="AK39" i="9"/>
  <c r="AK32" i="9"/>
  <c r="AK29" i="9"/>
  <c r="AK35" i="9"/>
  <c r="AK40" i="9"/>
  <c r="AK34" i="9"/>
  <c r="AK37" i="9"/>
  <c r="AK36" i="9"/>
  <c r="AK31" i="9"/>
  <c r="AK33" i="9"/>
  <c r="BX5" i="9"/>
  <c r="BT5" i="9"/>
  <c r="BP5" i="9"/>
  <c r="BL5" i="9"/>
  <c r="BD5" i="9"/>
  <c r="AV5" i="9"/>
  <c r="AR5" i="9"/>
  <c r="AJ5" i="9"/>
  <c r="AB5" i="9"/>
  <c r="AB26" i="9" s="1"/>
  <c r="BV5" i="9"/>
  <c r="BR5" i="9"/>
  <c r="BN5" i="9"/>
  <c r="BJ5" i="9"/>
  <c r="BF5" i="9"/>
  <c r="BB5" i="9"/>
  <c r="AX5" i="9"/>
  <c r="AT5" i="9"/>
  <c r="AP5" i="9"/>
  <c r="AL5" i="9"/>
  <c r="AH5" i="9"/>
  <c r="AD5" i="9"/>
  <c r="BH5" i="9"/>
  <c r="AZ5" i="9"/>
  <c r="AN5" i="9"/>
  <c r="AF5" i="9"/>
  <c r="BO36" i="9"/>
  <c r="BO31" i="9"/>
  <c r="BO35" i="9"/>
  <c r="BO38" i="9"/>
  <c r="BO34" i="9"/>
  <c r="BO32" i="9"/>
  <c r="BO40" i="9"/>
  <c r="BO37" i="9"/>
  <c r="BO39" i="9"/>
  <c r="BO33" i="9"/>
  <c r="BO30" i="9"/>
  <c r="BO29" i="9"/>
  <c r="AN96" i="5"/>
  <c r="AN27" i="5"/>
  <c r="M148" i="5"/>
  <c r="N148" i="5" s="1"/>
  <c r="Q148" i="5" s="1"/>
  <c r="T148" i="5" s="1"/>
  <c r="W148" i="5" s="1"/>
  <c r="Z148" i="5" s="1"/>
  <c r="AC148" i="5" s="1"/>
  <c r="AF148" i="5" s="1"/>
  <c r="X75" i="3"/>
  <c r="Y75" i="3" s="1"/>
  <c r="M122" i="5"/>
  <c r="N122" i="5" s="1"/>
  <c r="Q122" i="5" s="1"/>
  <c r="T122" i="5" s="1"/>
  <c r="W122" i="5" s="1"/>
  <c r="Z122" i="5" s="1"/>
  <c r="AC122" i="5" s="1"/>
  <c r="AF122" i="5" s="1"/>
  <c r="AI122" i="5" s="1"/>
  <c r="R75" i="3"/>
  <c r="S75" i="3" s="1"/>
  <c r="AN51" i="5"/>
  <c r="AM51" i="5" s="1"/>
  <c r="AN97" i="5"/>
  <c r="AM97" i="5" s="1"/>
  <c r="AN50" i="5"/>
  <c r="AM50" i="5" s="1"/>
  <c r="H52" i="4"/>
  <c r="Z127" i="5"/>
  <c r="AC127" i="5" s="1"/>
  <c r="AM67" i="5"/>
  <c r="AA35" i="9"/>
  <c r="AA31" i="9"/>
  <c r="AA38" i="9"/>
  <c r="AA34" i="9"/>
  <c r="AA40" i="9"/>
  <c r="AA30" i="9"/>
  <c r="AA36" i="9"/>
  <c r="AA37" i="9"/>
  <c r="AA32" i="9"/>
  <c r="AA33" i="9"/>
  <c r="AA39" i="9"/>
  <c r="AA29" i="9"/>
  <c r="L75" i="3"/>
  <c r="M75" i="3" s="1"/>
  <c r="AD75" i="3"/>
  <c r="P43" i="4" s="1"/>
  <c r="F75" i="3"/>
  <c r="G75" i="3" s="1"/>
  <c r="AN92" i="5"/>
  <c r="AM92" i="5" s="1"/>
  <c r="AM90" i="5" s="1"/>
  <c r="AN46" i="5"/>
  <c r="AM46" i="5" s="1"/>
  <c r="J89" i="5"/>
  <c r="L89" i="5" s="1"/>
  <c r="I19" i="5"/>
  <c r="J19" i="5" s="1"/>
  <c r="L19" i="5" s="1"/>
  <c r="N12" i="5" s="1"/>
  <c r="I5" i="10" s="1"/>
  <c r="W24" i="5"/>
  <c r="AR24" i="5"/>
  <c r="AO24" i="5"/>
  <c r="AM24" i="5" s="1"/>
  <c r="AO160" i="5"/>
  <c r="Z38" i="5"/>
  <c r="AO38" i="5"/>
  <c r="AR38" i="5"/>
  <c r="Q116" i="5"/>
  <c r="AR116" i="5"/>
  <c r="AO116" i="5"/>
  <c r="AR158" i="5"/>
  <c r="AM158" i="5"/>
  <c r="AC47" i="5"/>
  <c r="AO47" i="5"/>
  <c r="AM47" i="5" s="1"/>
  <c r="AR47" i="5"/>
  <c r="M48" i="5"/>
  <c r="N48" i="5" s="1"/>
  <c r="AC35" i="3"/>
  <c r="AE35" i="3"/>
  <c r="S35" i="3"/>
  <c r="AI35" i="3"/>
  <c r="W35" i="3"/>
  <c r="Y35" i="3"/>
  <c r="AC39" i="3"/>
  <c r="Y39" i="3"/>
  <c r="AI39" i="3"/>
  <c r="W39" i="3"/>
  <c r="AE39" i="3"/>
  <c r="S39" i="3"/>
  <c r="AI46" i="3"/>
  <c r="W46" i="3"/>
  <c r="AC46" i="3"/>
  <c r="S46" i="3"/>
  <c r="AE46" i="3"/>
  <c r="Y46" i="3"/>
  <c r="AI49" i="3"/>
  <c r="AE49" i="3"/>
  <c r="AA49" i="3"/>
  <c r="W49" i="3"/>
  <c r="S49" i="3"/>
  <c r="O49" i="3"/>
  <c r="K49" i="3"/>
  <c r="G49" i="3"/>
  <c r="AG49" i="3"/>
  <c r="AC49" i="3"/>
  <c r="Y49" i="3"/>
  <c r="U49" i="3"/>
  <c r="Q49" i="3"/>
  <c r="M49" i="3"/>
  <c r="I49" i="3"/>
  <c r="AI53" i="3"/>
  <c r="AE53" i="3"/>
  <c r="AA53" i="3"/>
  <c r="W53" i="3"/>
  <c r="S53" i="3"/>
  <c r="O53" i="3"/>
  <c r="K53" i="3"/>
  <c r="G53" i="3"/>
  <c r="AG53" i="3"/>
  <c r="AC53" i="3"/>
  <c r="Y53" i="3"/>
  <c r="U53" i="3"/>
  <c r="Q53" i="3"/>
  <c r="M53" i="3"/>
  <c r="I53" i="3"/>
  <c r="AC45" i="3"/>
  <c r="AI45" i="3"/>
  <c r="W45" i="3"/>
  <c r="AE45" i="3"/>
  <c r="Y45" i="3"/>
  <c r="S45" i="3"/>
  <c r="AC41" i="3"/>
  <c r="Y41" i="3"/>
  <c r="AI41" i="3"/>
  <c r="W41" i="3"/>
  <c r="AE41" i="3"/>
  <c r="S41" i="3"/>
  <c r="AC44" i="3"/>
  <c r="AI44" i="3"/>
  <c r="S44" i="3"/>
  <c r="AE44" i="3"/>
  <c r="Y44" i="3"/>
  <c r="W44" i="3"/>
  <c r="AC47" i="3"/>
  <c r="AI47" i="3"/>
  <c r="W47" i="3"/>
  <c r="Y47" i="3"/>
  <c r="S47" i="3"/>
  <c r="AE47" i="3"/>
  <c r="AI43" i="3"/>
  <c r="W43" i="3"/>
  <c r="S43" i="3"/>
  <c r="AE43" i="3"/>
  <c r="AC43" i="3"/>
  <c r="Y43" i="3"/>
  <c r="AI36" i="3"/>
  <c r="W36" i="3"/>
  <c r="AE36" i="3"/>
  <c r="S36" i="3"/>
  <c r="AC36" i="3"/>
  <c r="Y36" i="3"/>
  <c r="AG54" i="3"/>
  <c r="AC54" i="3"/>
  <c r="Y54" i="3"/>
  <c r="U54" i="3"/>
  <c r="Q54" i="3"/>
  <c r="M54" i="3"/>
  <c r="I54" i="3"/>
  <c r="AI54" i="3"/>
  <c r="AE54" i="3"/>
  <c r="AA54" i="3"/>
  <c r="W54" i="3"/>
  <c r="S54" i="3"/>
  <c r="O54" i="3"/>
  <c r="K54" i="3"/>
  <c r="G54" i="3"/>
  <c r="AI40" i="3"/>
  <c r="W40" i="3"/>
  <c r="AE40" i="3"/>
  <c r="S40" i="3"/>
  <c r="AC40" i="3"/>
  <c r="Y40" i="3"/>
  <c r="AI38" i="3"/>
  <c r="W38" i="3"/>
  <c r="AE38" i="3"/>
  <c r="S38" i="3"/>
  <c r="AC38" i="3"/>
  <c r="Y38" i="3"/>
  <c r="AG52" i="3"/>
  <c r="AC52" i="3"/>
  <c r="Y52" i="3"/>
  <c r="U52" i="3"/>
  <c r="Q52" i="3"/>
  <c r="M52" i="3"/>
  <c r="I52" i="3"/>
  <c r="AI52" i="3"/>
  <c r="AE52" i="3"/>
  <c r="AA52" i="3"/>
  <c r="W52" i="3"/>
  <c r="S52" i="3"/>
  <c r="O52" i="3"/>
  <c r="K52" i="3"/>
  <c r="G52" i="3"/>
  <c r="AC42" i="3"/>
  <c r="W42" i="3"/>
  <c r="AI42" i="3"/>
  <c r="S42" i="3"/>
  <c r="AE42" i="3"/>
  <c r="Y42" i="3"/>
  <c r="AC37" i="3"/>
  <c r="Y37" i="3"/>
  <c r="AI37" i="3"/>
  <c r="W37" i="3"/>
  <c r="AE37" i="3"/>
  <c r="S37" i="3"/>
  <c r="Z47" i="5"/>
  <c r="T116" i="5"/>
  <c r="T47" i="5"/>
  <c r="AI116" i="5"/>
  <c r="AF47" i="5"/>
  <c r="AC116" i="5"/>
  <c r="W116" i="5"/>
  <c r="Z116" i="5"/>
  <c r="AF116" i="5"/>
  <c r="AL116" i="5"/>
  <c r="T24" i="5"/>
  <c r="AF24" i="5"/>
  <c r="AI47" i="5"/>
  <c r="AL24" i="5"/>
  <c r="AL47" i="5"/>
  <c r="W47" i="5"/>
  <c r="Q47" i="5"/>
  <c r="AI38" i="5"/>
  <c r="AL38" i="5"/>
  <c r="T38" i="5"/>
  <c r="AC38" i="5"/>
  <c r="AF38" i="5"/>
  <c r="Q38" i="5"/>
  <c r="W38" i="5"/>
  <c r="AC24" i="5"/>
  <c r="Z24" i="5"/>
  <c r="Q24" i="5"/>
  <c r="AI24" i="5"/>
  <c r="E33" i="3"/>
  <c r="E10" i="3"/>
  <c r="U162" i="5"/>
  <c r="Z162" i="5"/>
  <c r="Z155" i="5"/>
  <c r="U155" i="5"/>
  <c r="J43" i="5"/>
  <c r="L43" i="5" s="1"/>
  <c r="M96" i="5"/>
  <c r="N96" i="5" s="1"/>
  <c r="Q96" i="5" s="1"/>
  <c r="T96" i="5" s="1"/>
  <c r="W96" i="5" s="1"/>
  <c r="Z96" i="5" s="1"/>
  <c r="AC96" i="5" s="1"/>
  <c r="AF96" i="5" s="1"/>
  <c r="AI96" i="5" s="1"/>
  <c r="AL96" i="5" s="1"/>
  <c r="AO96" i="5" s="1"/>
  <c r="M159" i="5"/>
  <c r="N159" i="5" s="1"/>
  <c r="Q159" i="5" s="1"/>
  <c r="T159" i="5" s="1"/>
  <c r="W159" i="5" s="1"/>
  <c r="Z159" i="5" s="1"/>
  <c r="AC159" i="5" s="1"/>
  <c r="AF159" i="5" s="1"/>
  <c r="AI159" i="5" s="1"/>
  <c r="AL159" i="5" s="1"/>
  <c r="AO159" i="5" s="1"/>
  <c r="M117" i="5"/>
  <c r="N117" i="5" s="1"/>
  <c r="M27" i="5"/>
  <c r="N27" i="5" s="1"/>
  <c r="Q27" i="5" s="1"/>
  <c r="T27" i="5" s="1"/>
  <c r="W27" i="5" s="1"/>
  <c r="Z27" i="5" s="1"/>
  <c r="AC27" i="5" s="1"/>
  <c r="AF27" i="5" s="1"/>
  <c r="AI27" i="5" s="1"/>
  <c r="AL27" i="5" s="1"/>
  <c r="AO27" i="5" s="1"/>
  <c r="M119" i="5"/>
  <c r="N119" i="5" s="1"/>
  <c r="Q119" i="5" s="1"/>
  <c r="T119" i="5" s="1"/>
  <c r="W119" i="5" s="1"/>
  <c r="Z119" i="5" s="1"/>
  <c r="AC119" i="5" s="1"/>
  <c r="AF119" i="5" s="1"/>
  <c r="AI119" i="5" s="1"/>
  <c r="AL119" i="5" s="1"/>
  <c r="AO119" i="5" s="1"/>
  <c r="M130" i="5"/>
  <c r="N130" i="5" s="1"/>
  <c r="M131" i="5"/>
  <c r="N131" i="5" s="1"/>
  <c r="J112" i="5"/>
  <c r="L112" i="5" s="1"/>
  <c r="AF150" i="5"/>
  <c r="AA150" i="5"/>
  <c r="Z149" i="5"/>
  <c r="U149" i="5"/>
  <c r="J135" i="5"/>
  <c r="L135" i="5" s="1"/>
  <c r="J20" i="5"/>
  <c r="L20" i="5" s="1"/>
  <c r="E28" i="3"/>
  <c r="D27" i="3"/>
  <c r="B11" i="4" s="1"/>
  <c r="B9" i="4" s="1"/>
  <c r="AD156" i="5"/>
  <c r="AI156" i="5"/>
  <c r="E30" i="3"/>
  <c r="X42" i="5"/>
  <c r="AC42" i="5"/>
  <c r="M123" i="5"/>
  <c r="N123" i="5" s="1"/>
  <c r="Q123" i="5" s="1"/>
  <c r="T123" i="5" s="1"/>
  <c r="W123" i="5" s="1"/>
  <c r="Z123" i="5" s="1"/>
  <c r="AC123" i="5" s="1"/>
  <c r="AF123" i="5" s="1"/>
  <c r="AI123" i="5" s="1"/>
  <c r="AL123" i="5" s="1"/>
  <c r="AO123" i="5" s="1"/>
  <c r="M126" i="5"/>
  <c r="N126" i="5" s="1"/>
  <c r="Q126" i="5" s="1"/>
  <c r="T126" i="5" s="1"/>
  <c r="W126" i="5" s="1"/>
  <c r="Z126" i="5" s="1"/>
  <c r="AC126" i="5" s="1"/>
  <c r="AF126" i="5" s="1"/>
  <c r="AI126" i="5" s="1"/>
  <c r="AL126" i="5" s="1"/>
  <c r="AO126" i="5" s="1"/>
  <c r="M33" i="5"/>
  <c r="N33" i="5" s="1"/>
  <c r="Q33" i="5" s="1"/>
  <c r="T33" i="5" s="1"/>
  <c r="W33" i="5" s="1"/>
  <c r="Z33" i="5" s="1"/>
  <c r="AC33" i="5" s="1"/>
  <c r="AF33" i="5" s="1"/>
  <c r="AI33" i="5" s="1"/>
  <c r="AL33" i="5" s="1"/>
  <c r="AO33" i="5" s="1"/>
  <c r="M79" i="5"/>
  <c r="N79" i="5" s="1"/>
  <c r="M121" i="5"/>
  <c r="N121" i="5" s="1"/>
  <c r="Q121" i="5" s="1"/>
  <c r="T121" i="5" s="1"/>
  <c r="W121" i="5" s="1"/>
  <c r="Z121" i="5" s="1"/>
  <c r="AC121" i="5" s="1"/>
  <c r="AF121" i="5" s="1"/>
  <c r="AI121" i="5" s="1"/>
  <c r="AL121" i="5" s="1"/>
  <c r="AO121" i="5" s="1"/>
  <c r="M125" i="5"/>
  <c r="N125" i="5" s="1"/>
  <c r="Q125" i="5" s="1"/>
  <c r="T125" i="5" s="1"/>
  <c r="W125" i="5" s="1"/>
  <c r="Z125" i="5" s="1"/>
  <c r="AC125" i="5" s="1"/>
  <c r="AF125" i="5" s="1"/>
  <c r="AI125" i="5" s="1"/>
  <c r="AL125" i="5" s="1"/>
  <c r="AO125" i="5" s="1"/>
  <c r="AM125" i="5" s="1"/>
  <c r="M102" i="5"/>
  <c r="N102" i="5" s="1"/>
  <c r="Q102" i="5" s="1"/>
  <c r="T102" i="5" s="1"/>
  <c r="W102" i="5" s="1"/>
  <c r="Z102" i="5" s="1"/>
  <c r="AC102" i="5" s="1"/>
  <c r="AF102" i="5" s="1"/>
  <c r="AI102" i="5" s="1"/>
  <c r="AL102" i="5" s="1"/>
  <c r="AO102" i="5" s="1"/>
  <c r="AC161" i="5"/>
  <c r="X161" i="5"/>
  <c r="AC134" i="5"/>
  <c r="X134" i="5"/>
  <c r="X30" i="5"/>
  <c r="AC30" i="5"/>
  <c r="Q83" i="3"/>
  <c r="Q85" i="3"/>
  <c r="J66" i="5"/>
  <c r="L66" i="5" s="1"/>
  <c r="AA111" i="5"/>
  <c r="AF111" i="5"/>
  <c r="AC168" i="5"/>
  <c r="X168" i="5"/>
  <c r="X163" i="5" s="1"/>
  <c r="E20" i="3"/>
  <c r="E14" i="3"/>
  <c r="E19" i="3"/>
  <c r="E17" i="3"/>
  <c r="E13" i="3"/>
  <c r="E12" i="3"/>
  <c r="E15" i="3"/>
  <c r="E24" i="3"/>
  <c r="E23" i="3"/>
  <c r="E16" i="3"/>
  <c r="E18" i="3"/>
  <c r="E22" i="3"/>
  <c r="E21" i="3"/>
  <c r="E51" i="3"/>
  <c r="D50" i="3"/>
  <c r="B15" i="4" s="1"/>
  <c r="B14" i="4" s="1"/>
  <c r="Q84" i="3"/>
  <c r="B33" i="4"/>
  <c r="B32" i="4"/>
  <c r="B34" i="4"/>
  <c r="M84" i="5" s="1"/>
  <c r="N84" i="5" s="1"/>
  <c r="X99" i="5"/>
  <c r="AC99" i="5"/>
  <c r="E29" i="3"/>
  <c r="AE75" i="3" l="1"/>
  <c r="H43" i="4"/>
  <c r="D43" i="4"/>
  <c r="BO27" i="9"/>
  <c r="AN26" i="9"/>
  <c r="AN7" i="9"/>
  <c r="AM5" i="9"/>
  <c r="AG5" i="9"/>
  <c r="AH26" i="9"/>
  <c r="AX26" i="9"/>
  <c r="AW5" i="9"/>
  <c r="AX7" i="9"/>
  <c r="BN26" i="9"/>
  <c r="BM5" i="9"/>
  <c r="BN7" i="9"/>
  <c r="AJ26" i="9"/>
  <c r="AI5" i="9"/>
  <c r="BL26" i="9"/>
  <c r="BL7" i="9"/>
  <c r="BK5" i="9"/>
  <c r="BK7" i="9" s="1"/>
  <c r="BK26" i="9" s="1"/>
  <c r="BE27" i="9"/>
  <c r="AU27" i="9"/>
  <c r="AZ26" i="9"/>
  <c r="AZ7" i="9"/>
  <c r="AY5" i="9"/>
  <c r="AY7" i="9" s="1"/>
  <c r="AY26" i="9" s="1"/>
  <c r="AL7" i="9"/>
  <c r="AK5" i="9"/>
  <c r="AK7" i="9" s="1"/>
  <c r="AK26" i="9" s="1"/>
  <c r="AL26" i="9"/>
  <c r="BB7" i="9"/>
  <c r="BA5" i="9"/>
  <c r="BA7" i="9" s="1"/>
  <c r="BA26" i="9" s="1"/>
  <c r="BB26" i="9"/>
  <c r="BR7" i="9"/>
  <c r="BQ5" i="9"/>
  <c r="BQ7" i="9" s="1"/>
  <c r="BQ26" i="9" s="1"/>
  <c r="BR26" i="9"/>
  <c r="AR26" i="9"/>
  <c r="AR7" i="9"/>
  <c r="AQ5" i="9"/>
  <c r="BP26" i="9"/>
  <c r="BP7" i="9"/>
  <c r="BO5" i="9"/>
  <c r="BH26" i="9"/>
  <c r="BH7" i="9"/>
  <c r="BG5" i="9"/>
  <c r="AP26" i="9"/>
  <c r="AO5" i="9"/>
  <c r="AO7" i="9" s="1"/>
  <c r="AO26" i="9" s="1"/>
  <c r="AP7" i="9"/>
  <c r="BF26" i="9"/>
  <c r="BE5" i="9"/>
  <c r="BF7" i="9"/>
  <c r="BV26" i="9"/>
  <c r="BU5" i="9"/>
  <c r="BU7" i="9" s="1"/>
  <c r="BU26" i="9" s="1"/>
  <c r="BV7" i="9"/>
  <c r="AV26" i="9"/>
  <c r="AV7" i="9"/>
  <c r="AU5" i="9"/>
  <c r="AU7" i="9" s="1"/>
  <c r="AU26" i="9" s="1"/>
  <c r="BT26" i="9"/>
  <c r="BT7" i="9"/>
  <c r="BS5" i="9"/>
  <c r="AF26" i="9"/>
  <c r="AE5" i="9"/>
  <c r="AC5" i="9"/>
  <c r="AD26" i="9"/>
  <c r="AT26" i="9"/>
  <c r="AT7" i="9"/>
  <c r="AS5" i="9"/>
  <c r="AS7" i="9" s="1"/>
  <c r="AS26" i="9" s="1"/>
  <c r="BJ26" i="9"/>
  <c r="BJ7" i="9"/>
  <c r="BI5" i="9"/>
  <c r="BI7" i="9" s="1"/>
  <c r="BI26" i="9" s="1"/>
  <c r="BD26" i="9"/>
  <c r="BD7" i="9"/>
  <c r="BC5" i="9"/>
  <c r="BC7" i="9" s="1"/>
  <c r="BC26" i="9" s="1"/>
  <c r="BX26" i="9"/>
  <c r="BX7" i="9"/>
  <c r="BW5" i="9"/>
  <c r="AK27" i="9"/>
  <c r="AL38" i="9" s="1"/>
  <c r="N7" i="5"/>
  <c r="L43" i="4"/>
  <c r="AO84" i="5"/>
  <c r="T84" i="5"/>
  <c r="Z84" i="5"/>
  <c r="AC84" i="5"/>
  <c r="AF84" i="5"/>
  <c r="AL84" i="5"/>
  <c r="Q84" i="5"/>
  <c r="W84" i="5"/>
  <c r="AR84" i="5"/>
  <c r="AI84" i="5"/>
  <c r="T43" i="4"/>
  <c r="AN28" i="5" s="1"/>
  <c r="AM28" i="5" s="1"/>
  <c r="AA5" i="9"/>
  <c r="AA7" i="9" s="1"/>
  <c r="AA27" i="9"/>
  <c r="AR102" i="5"/>
  <c r="AM102" i="5"/>
  <c r="AR121" i="5"/>
  <c r="AR123" i="5"/>
  <c r="AR33" i="5"/>
  <c r="AR130" i="5"/>
  <c r="AO130" i="5"/>
  <c r="AM130" i="5" s="1"/>
  <c r="AR159" i="5"/>
  <c r="AM159" i="5"/>
  <c r="AR125" i="5"/>
  <c r="AR126" i="5"/>
  <c r="AM126" i="5"/>
  <c r="AR119" i="5"/>
  <c r="AM119" i="5"/>
  <c r="AR96" i="5"/>
  <c r="AM96" i="5"/>
  <c r="AC48" i="5"/>
  <c r="AO48" i="5"/>
  <c r="AM48" i="5" s="1"/>
  <c r="AM44" i="5" s="1"/>
  <c r="AR48" i="5"/>
  <c r="AM27" i="5"/>
  <c r="AR27" i="5"/>
  <c r="AO79" i="5"/>
  <c r="AR79" i="5"/>
  <c r="AO131" i="5"/>
  <c r="AM131" i="5" s="1"/>
  <c r="AR131" i="5"/>
  <c r="AO117" i="5"/>
  <c r="AR117" i="5"/>
  <c r="AR160" i="5"/>
  <c r="AM160" i="5"/>
  <c r="AI48" i="5"/>
  <c r="T48" i="5"/>
  <c r="Q48" i="5"/>
  <c r="AF48" i="5"/>
  <c r="Z48" i="5"/>
  <c r="AL48" i="5"/>
  <c r="J61" i="3" a="1"/>
  <c r="F61" i="3" a="1"/>
  <c r="AI51" i="3"/>
  <c r="AE51" i="3"/>
  <c r="AA51" i="3"/>
  <c r="W51" i="3"/>
  <c r="S51" i="3"/>
  <c r="O51" i="3"/>
  <c r="K51" i="3"/>
  <c r="G51" i="3"/>
  <c r="AG51" i="3"/>
  <c r="AC51" i="3"/>
  <c r="Y51" i="3"/>
  <c r="U51" i="3"/>
  <c r="Q51" i="3"/>
  <c r="M51" i="3"/>
  <c r="I51" i="3"/>
  <c r="W48" i="5"/>
  <c r="X162" i="5"/>
  <c r="AC162" i="5"/>
  <c r="AL122" i="5"/>
  <c r="X155" i="5"/>
  <c r="AC155" i="5"/>
  <c r="D60" i="3"/>
  <c r="B31" i="4" s="1"/>
  <c r="AF147" i="5"/>
  <c r="AA161" i="5"/>
  <c r="AF161" i="5"/>
  <c r="AA42" i="5"/>
  <c r="AF42" i="5"/>
  <c r="AL131" i="5"/>
  <c r="AC131" i="5"/>
  <c r="Z131" i="5"/>
  <c r="Q131" i="5"/>
  <c r="AF131" i="5"/>
  <c r="T131" i="5"/>
  <c r="AI131" i="5"/>
  <c r="W131" i="5"/>
  <c r="E50" i="3"/>
  <c r="AD111" i="5"/>
  <c r="AI111" i="5"/>
  <c r="AF146" i="5"/>
  <c r="AA30" i="5"/>
  <c r="AF30" i="5"/>
  <c r="AL156" i="5"/>
  <c r="AG156" i="5"/>
  <c r="AC149" i="5"/>
  <c r="X149" i="5"/>
  <c r="AD150" i="5"/>
  <c r="AI150" i="5"/>
  <c r="AC130" i="5"/>
  <c r="AI130" i="5"/>
  <c r="Z130" i="5"/>
  <c r="T130" i="5"/>
  <c r="AF130" i="5"/>
  <c r="Q130" i="5"/>
  <c r="W130" i="5"/>
  <c r="AL130" i="5"/>
  <c r="AL117" i="5"/>
  <c r="AI117" i="5"/>
  <c r="AC117" i="5"/>
  <c r="Z117" i="5"/>
  <c r="AF117" i="5"/>
  <c r="Q117" i="5"/>
  <c r="W117" i="5"/>
  <c r="T117" i="5"/>
  <c r="AA127" i="5"/>
  <c r="AF127" i="5"/>
  <c r="AF99" i="5"/>
  <c r="AA99" i="5"/>
  <c r="AI148" i="5"/>
  <c r="M67" i="5"/>
  <c r="N67" i="5" s="1"/>
  <c r="M49" i="5"/>
  <c r="N49" i="5" s="1"/>
  <c r="M21" i="5"/>
  <c r="N21" i="5" s="1"/>
  <c r="M95" i="5"/>
  <c r="N95" i="5" s="1"/>
  <c r="M82" i="5"/>
  <c r="N82" i="5" s="1"/>
  <c r="M145" i="5"/>
  <c r="N145" i="5" s="1"/>
  <c r="M113" i="5"/>
  <c r="N113" i="5" s="1"/>
  <c r="M20" i="5"/>
  <c r="N20" i="5" s="1"/>
  <c r="M26" i="5"/>
  <c r="N26" i="5" s="1"/>
  <c r="M89" i="5"/>
  <c r="N89" i="5" s="1"/>
  <c r="M19" i="5"/>
  <c r="N5" i="5" s="1"/>
  <c r="M90" i="5"/>
  <c r="N90" i="5" s="1"/>
  <c r="M59" i="5"/>
  <c r="N59" i="5" s="1"/>
  <c r="M151" i="5"/>
  <c r="N151" i="5" s="1"/>
  <c r="M128" i="5"/>
  <c r="N128" i="5" s="1"/>
  <c r="M43" i="5"/>
  <c r="N43" i="5" s="1"/>
  <c r="M36" i="5"/>
  <c r="N36" i="5" s="1"/>
  <c r="M105" i="5"/>
  <c r="N105" i="5" s="1"/>
  <c r="M157" i="5"/>
  <c r="N157" i="5" s="1"/>
  <c r="M163" i="5"/>
  <c r="N163" i="5" s="1"/>
  <c r="M66" i="5"/>
  <c r="N66" i="5" s="1"/>
  <c r="M44" i="5"/>
  <c r="N44" i="5" s="1"/>
  <c r="M72" i="5"/>
  <c r="N72" i="5" s="1"/>
  <c r="M118" i="5"/>
  <c r="N118" i="5" s="1"/>
  <c r="M112" i="5"/>
  <c r="N112" i="5" s="1"/>
  <c r="AA168" i="5"/>
  <c r="AA163" i="5" s="1"/>
  <c r="AF168" i="5"/>
  <c r="M135" i="5"/>
  <c r="N4" i="5" s="1"/>
  <c r="N10" i="5" s="1"/>
  <c r="M136" i="5"/>
  <c r="N136" i="5" s="1"/>
  <c r="AF134" i="5"/>
  <c r="AA134" i="5"/>
  <c r="AC79" i="5"/>
  <c r="W79" i="5"/>
  <c r="AI79" i="5"/>
  <c r="T79" i="5"/>
  <c r="AL79" i="5"/>
  <c r="Z79" i="5"/>
  <c r="AF79" i="5"/>
  <c r="Q79" i="5"/>
  <c r="E27" i="3"/>
  <c r="AN120" i="5" l="1"/>
  <c r="AM120" i="5" s="1"/>
  <c r="BW7" i="9"/>
  <c r="BW26" i="9" s="1"/>
  <c r="AQ7" i="9"/>
  <c r="AQ26" i="9" s="1"/>
  <c r="AI7" i="9"/>
  <c r="AJ7" i="9" s="1"/>
  <c r="AV38" i="9"/>
  <c r="AV33" i="9"/>
  <c r="AV40" i="9"/>
  <c r="AV31" i="9"/>
  <c r="AV34" i="9"/>
  <c r="AV36" i="9"/>
  <c r="AV32" i="9"/>
  <c r="AV30" i="9"/>
  <c r="AV39" i="9"/>
  <c r="AV37" i="9"/>
  <c r="AV29" i="9"/>
  <c r="AV28" i="9"/>
  <c r="AV35" i="9"/>
  <c r="BG7" i="9"/>
  <c r="BG26" i="9" s="1"/>
  <c r="AL36" i="9"/>
  <c r="AL30" i="9"/>
  <c r="AL29" i="9"/>
  <c r="AL28" i="9"/>
  <c r="AL33" i="9"/>
  <c r="AL35" i="9"/>
  <c r="AL40" i="9"/>
  <c r="AL34" i="9"/>
  <c r="AL37" i="9"/>
  <c r="AL39" i="9"/>
  <c r="AL32" i="9"/>
  <c r="AL31" i="9"/>
  <c r="AW7" i="9"/>
  <c r="AW26" i="9" s="1"/>
  <c r="AM7" i="9"/>
  <c r="AM26" i="9" s="1"/>
  <c r="BS7" i="9"/>
  <c r="BS26" i="9" s="1"/>
  <c r="BM7" i="9"/>
  <c r="BM26" i="9" s="1"/>
  <c r="AC7" i="9"/>
  <c r="AD7" i="9" s="1"/>
  <c r="AE7" i="9"/>
  <c r="AF7" i="9" s="1"/>
  <c r="BE7" i="9"/>
  <c r="BE26" i="9" s="1"/>
  <c r="BO7" i="9"/>
  <c r="BO26" i="9" s="1"/>
  <c r="AG7" i="9"/>
  <c r="AH7" i="9" s="1"/>
  <c r="N14" i="5"/>
  <c r="K5" i="10" s="1"/>
  <c r="N6" i="5"/>
  <c r="N13" i="5"/>
  <c r="J5" i="10" s="1"/>
  <c r="AA26" i="9"/>
  <c r="AB19" i="9"/>
  <c r="AB18" i="9"/>
  <c r="AB14" i="9"/>
  <c r="AB10" i="9"/>
  <c r="F13" i="3" s="1"/>
  <c r="AB16" i="9"/>
  <c r="AB12" i="9"/>
  <c r="F15" i="3" s="1"/>
  <c r="AB15" i="9"/>
  <c r="AB11" i="9"/>
  <c r="AB21" i="9"/>
  <c r="AB17" i="9"/>
  <c r="AB20" i="9"/>
  <c r="AB13" i="9"/>
  <c r="AB9" i="9"/>
  <c r="AB7" i="9"/>
  <c r="F12" i="3" a="1"/>
  <c r="AM128" i="5"/>
  <c r="AJ156" i="5"/>
  <c r="AO156" i="5"/>
  <c r="AO122" i="5"/>
  <c r="N135" i="5"/>
  <c r="AG50" i="3"/>
  <c r="AC50" i="3"/>
  <c r="Y50" i="3"/>
  <c r="U50" i="3"/>
  <c r="Q50" i="3"/>
  <c r="M50" i="3"/>
  <c r="I50" i="3"/>
  <c r="AI50" i="3"/>
  <c r="AE50" i="3"/>
  <c r="AA50" i="3"/>
  <c r="W50" i="3"/>
  <c r="S50" i="3"/>
  <c r="O50" i="3"/>
  <c r="K50" i="3"/>
  <c r="G50" i="3"/>
  <c r="F61" i="3"/>
  <c r="F63" i="3"/>
  <c r="F62" i="3"/>
  <c r="J61" i="3"/>
  <c r="J63" i="3"/>
  <c r="V34" i="4" s="1"/>
  <c r="AQ84" i="5" s="1"/>
  <c r="AP84" i="5" s="1"/>
  <c r="AP82" i="5" s="1"/>
  <c r="J62" i="3"/>
  <c r="V33" i="4" s="1"/>
  <c r="N19" i="5"/>
  <c r="M114" i="5"/>
  <c r="N114" i="5" s="1"/>
  <c r="M23" i="5"/>
  <c r="N23" i="5" s="1"/>
  <c r="AF162" i="5"/>
  <c r="AA162" i="5"/>
  <c r="AA155" i="5"/>
  <c r="AF155" i="5"/>
  <c r="AI168" i="5"/>
  <c r="AD168" i="5"/>
  <c r="AD163" i="5" s="1"/>
  <c r="AL148" i="5"/>
  <c r="AD99" i="5"/>
  <c r="AI99" i="5"/>
  <c r="AI127" i="5"/>
  <c r="AF149" i="5"/>
  <c r="AA149" i="5"/>
  <c r="AI146" i="5"/>
  <c r="AI134" i="5"/>
  <c r="AD134" i="5"/>
  <c r="Q81" i="3"/>
  <c r="AL150" i="5"/>
  <c r="AG150" i="5"/>
  <c r="AI30" i="5"/>
  <c r="AD30" i="5"/>
  <c r="AI161" i="5"/>
  <c r="AD161" i="5"/>
  <c r="M115" i="5"/>
  <c r="N115" i="5" s="1"/>
  <c r="M138" i="5"/>
  <c r="N138" i="5" s="1"/>
  <c r="M137" i="5"/>
  <c r="N137" i="5" s="1"/>
  <c r="AI42" i="5"/>
  <c r="AD42" i="5"/>
  <c r="AG111" i="5"/>
  <c r="AL111" i="5"/>
  <c r="AI147" i="5"/>
  <c r="D58" i="3"/>
  <c r="B29" i="4" s="1"/>
  <c r="M37" i="5"/>
  <c r="N37" i="5" s="1"/>
  <c r="E60" i="3"/>
  <c r="AC26" i="9" l="1"/>
  <c r="BF33" i="9"/>
  <c r="BF39" i="9"/>
  <c r="BF35" i="9"/>
  <c r="BF31" i="9"/>
  <c r="BF28" i="9"/>
  <c r="BF37" i="9"/>
  <c r="BF32" i="9"/>
  <c r="BF30" i="9"/>
  <c r="BF34" i="9"/>
  <c r="BF40" i="9"/>
  <c r="BF36" i="9"/>
  <c r="BF38" i="9"/>
  <c r="BF29" i="9"/>
  <c r="AG26" i="9"/>
  <c r="BP39" i="9"/>
  <c r="BP33" i="9"/>
  <c r="AD40" i="3" s="1"/>
  <c r="BP29" i="9"/>
  <c r="BP35" i="9"/>
  <c r="BP28" i="9"/>
  <c r="BP36" i="9"/>
  <c r="BP31" i="9"/>
  <c r="BP32" i="9"/>
  <c r="AD39" i="3" s="1"/>
  <c r="BP34" i="9"/>
  <c r="AD41" i="3" s="1"/>
  <c r="BP37" i="9"/>
  <c r="BP40" i="9"/>
  <c r="AD47" i="3" s="1"/>
  <c r="BP38" i="9"/>
  <c r="BP30" i="9"/>
  <c r="AD37" i="3" s="1"/>
  <c r="AI26" i="9"/>
  <c r="AM29" i="9" a="1"/>
  <c r="AL27" i="9"/>
  <c r="AW29" i="9" a="1"/>
  <c r="AV27" i="9"/>
  <c r="AE26" i="9"/>
  <c r="AB8" i="9"/>
  <c r="AC10" i="9" a="1"/>
  <c r="AK9" i="9" a="1"/>
  <c r="AB40" i="9"/>
  <c r="AB36" i="9"/>
  <c r="AB32" i="9"/>
  <c r="AB39" i="9"/>
  <c r="AB35" i="9"/>
  <c r="AB31" i="9"/>
  <c r="AB38" i="9"/>
  <c r="AB30" i="9"/>
  <c r="AB37" i="9"/>
  <c r="AB29" i="9"/>
  <c r="AB34" i="9"/>
  <c r="AB33" i="9"/>
  <c r="AB28" i="9"/>
  <c r="T33" i="4"/>
  <c r="T34" i="4"/>
  <c r="AN84" i="5" s="1"/>
  <c r="AM84" i="5" s="1"/>
  <c r="AM82" i="5" s="1"/>
  <c r="M60" i="5"/>
  <c r="N60" i="5" s="1"/>
  <c r="M106" i="5"/>
  <c r="N106" i="5" s="1"/>
  <c r="T32" i="4"/>
  <c r="G61" i="3" a="1"/>
  <c r="V32" i="4"/>
  <c r="K61" i="3" a="1"/>
  <c r="F21" i="3"/>
  <c r="F17" i="3"/>
  <c r="F22" i="3"/>
  <c r="F16" i="3"/>
  <c r="F18" i="3"/>
  <c r="F23" i="3"/>
  <c r="F14" i="3"/>
  <c r="F12" i="3"/>
  <c r="F24" i="3"/>
  <c r="F19" i="3"/>
  <c r="F20" i="3"/>
  <c r="R38" i="3"/>
  <c r="AD35" i="3" a="1"/>
  <c r="R35" i="3" a="1"/>
  <c r="R40" i="3" s="1"/>
  <c r="L35" i="3" a="1"/>
  <c r="L39" i="3" s="1"/>
  <c r="F35" i="3" a="1"/>
  <c r="AD43" i="3"/>
  <c r="X35" i="3" a="1"/>
  <c r="AO137" i="5"/>
  <c r="AR137" i="5"/>
  <c r="AO115" i="5"/>
  <c r="AR115" i="5"/>
  <c r="AO23" i="5"/>
  <c r="AM23" i="5" s="1"/>
  <c r="AM21" i="5" s="1"/>
  <c r="AR23" i="5"/>
  <c r="AO148" i="5"/>
  <c r="T114" i="5"/>
  <c r="AR114" i="5"/>
  <c r="AO114" i="5"/>
  <c r="AM114" i="5" s="1"/>
  <c r="AR122" i="5"/>
  <c r="AR156" i="5"/>
  <c r="AP156" i="5" s="1"/>
  <c r="AM156" i="5"/>
  <c r="AO37" i="5"/>
  <c r="AR37" i="5"/>
  <c r="AJ111" i="5"/>
  <c r="AO111" i="5"/>
  <c r="AR138" i="5"/>
  <c r="AO138" i="5"/>
  <c r="AJ150" i="5"/>
  <c r="AO150" i="5"/>
  <c r="F60" i="3"/>
  <c r="T31" i="4" s="1"/>
  <c r="AN37" i="5" s="1"/>
  <c r="J60" i="3"/>
  <c r="V31" i="4" s="1"/>
  <c r="AQ37" i="5" s="1"/>
  <c r="AL114" i="5"/>
  <c r="AC114" i="5"/>
  <c r="Q114" i="5"/>
  <c r="AI114" i="5"/>
  <c r="AF114" i="5"/>
  <c r="Z114" i="5"/>
  <c r="W114" i="5"/>
  <c r="Z23" i="5"/>
  <c r="Q23" i="5"/>
  <c r="AL23" i="5"/>
  <c r="T23" i="5"/>
  <c r="AI23" i="5"/>
  <c r="W23" i="5"/>
  <c r="AF23" i="5"/>
  <c r="AC23" i="5"/>
  <c r="AF37" i="5"/>
  <c r="W37" i="5"/>
  <c r="Z37" i="5"/>
  <c r="T37" i="5"/>
  <c r="Q37" i="5"/>
  <c r="AL37" i="5"/>
  <c r="AI37" i="5"/>
  <c r="AC37" i="5"/>
  <c r="AD162" i="5"/>
  <c r="AI162" i="5"/>
  <c r="AD155" i="5"/>
  <c r="AI155" i="5"/>
  <c r="Z138" i="5"/>
  <c r="AF138" i="5"/>
  <c r="AC138" i="5"/>
  <c r="Q138" i="5"/>
  <c r="AI138" i="5"/>
  <c r="T138" i="5"/>
  <c r="AL138" i="5"/>
  <c r="W138" i="5"/>
  <c r="AG127" i="5"/>
  <c r="AL127" i="5"/>
  <c r="W115" i="5"/>
  <c r="Q115" i="5"/>
  <c r="AL115" i="5"/>
  <c r="Z115" i="5"/>
  <c r="AI115" i="5"/>
  <c r="AF115" i="5"/>
  <c r="T115" i="5"/>
  <c r="AC115" i="5"/>
  <c r="AG30" i="5"/>
  <c r="AL30" i="5"/>
  <c r="AL146" i="5"/>
  <c r="AG99" i="5"/>
  <c r="AL99" i="5"/>
  <c r="AL147" i="5"/>
  <c r="AL42" i="5"/>
  <c r="AG42" i="5"/>
  <c r="AG161" i="5"/>
  <c r="AL161" i="5"/>
  <c r="AG168" i="5"/>
  <c r="AG163" i="5" s="1"/>
  <c r="AL168" i="5"/>
  <c r="E58" i="3"/>
  <c r="AL137" i="5"/>
  <c r="AC137" i="5"/>
  <c r="Z137" i="5"/>
  <c r="AF137" i="5"/>
  <c r="AI137" i="5"/>
  <c r="T137" i="5"/>
  <c r="W137" i="5"/>
  <c r="Q137" i="5"/>
  <c r="AL134" i="5"/>
  <c r="AG134" i="5"/>
  <c r="AI149" i="5"/>
  <c r="AD149" i="5"/>
  <c r="AW40" i="9" l="1"/>
  <c r="AW35" i="9"/>
  <c r="AW34" i="9"/>
  <c r="AW36" i="9"/>
  <c r="AW31" i="9"/>
  <c r="AW29" i="9"/>
  <c r="AW39" i="9"/>
  <c r="AW30" i="9"/>
  <c r="AW33" i="9"/>
  <c r="AW32" i="9"/>
  <c r="AW38" i="9"/>
  <c r="AW37" i="9"/>
  <c r="BP27" i="9"/>
  <c r="BQ29" i="9" a="1"/>
  <c r="AD46" i="3"/>
  <c r="X39" i="3"/>
  <c r="AM33" i="9"/>
  <c r="AM40" i="9"/>
  <c r="AM35" i="9"/>
  <c r="AM29" i="9"/>
  <c r="AM32" i="9"/>
  <c r="AM31" i="9"/>
  <c r="AM39" i="9"/>
  <c r="AM36" i="9"/>
  <c r="AM38" i="9"/>
  <c r="AM37" i="9"/>
  <c r="AM34" i="9"/>
  <c r="AM30" i="9"/>
  <c r="BG29" i="9" a="1"/>
  <c r="BF27" i="9"/>
  <c r="AB27" i="9"/>
  <c r="AC29" i="9" a="1"/>
  <c r="AK18" i="9"/>
  <c r="AK14" i="9"/>
  <c r="AK10" i="9"/>
  <c r="AK20" i="9"/>
  <c r="AK16" i="9"/>
  <c r="AK12" i="9"/>
  <c r="AK19" i="9"/>
  <c r="AK11" i="9"/>
  <c r="AK17" i="9"/>
  <c r="AK9" i="9"/>
  <c r="AK15" i="9"/>
  <c r="AK21" i="9"/>
  <c r="AK13" i="9"/>
  <c r="AM37" i="5"/>
  <c r="AC20" i="9"/>
  <c r="AC16" i="9"/>
  <c r="AC12" i="9"/>
  <c r="AC18" i="9"/>
  <c r="AC14" i="9"/>
  <c r="AC10" i="9"/>
  <c r="AC21" i="9"/>
  <c r="AC13" i="9"/>
  <c r="AC17" i="9"/>
  <c r="AC15" i="9"/>
  <c r="AC11" i="9"/>
  <c r="AC19" i="9"/>
  <c r="AP37" i="5"/>
  <c r="R46" i="3"/>
  <c r="R39" i="3"/>
  <c r="R43" i="3"/>
  <c r="R36" i="3"/>
  <c r="R41" i="3"/>
  <c r="L47" i="3"/>
  <c r="L46" i="3"/>
  <c r="Q60" i="5"/>
  <c r="O60" i="5" s="1"/>
  <c r="O59" i="5" s="1"/>
  <c r="Z60" i="5"/>
  <c r="X60" i="5" s="1"/>
  <c r="W60" i="5"/>
  <c r="U60" i="5" s="1"/>
  <c r="U59" i="5" s="1"/>
  <c r="AO60" i="5"/>
  <c r="T60" i="5"/>
  <c r="R60" i="5" s="1"/>
  <c r="AF60" i="5"/>
  <c r="AD60" i="5" s="1"/>
  <c r="AL60" i="5"/>
  <c r="AJ60" i="5" s="1"/>
  <c r="AI60" i="5"/>
  <c r="AG60" i="5" s="1"/>
  <c r="AG59" i="5" s="1"/>
  <c r="AR60" i="5"/>
  <c r="AC60" i="5"/>
  <c r="AA60" i="5" s="1"/>
  <c r="AA59" i="5" s="1"/>
  <c r="L37" i="3"/>
  <c r="L36" i="3"/>
  <c r="L44" i="3"/>
  <c r="L45" i="3"/>
  <c r="G63" i="3"/>
  <c r="G61" i="3"/>
  <c r="G62" i="3"/>
  <c r="R45" i="3"/>
  <c r="R44" i="3"/>
  <c r="K61" i="3"/>
  <c r="K63" i="3"/>
  <c r="K62" i="3"/>
  <c r="AI106" i="5"/>
  <c r="AF106" i="5"/>
  <c r="AR106" i="5"/>
  <c r="T106" i="5"/>
  <c r="Z106" i="5"/>
  <c r="AO106" i="5"/>
  <c r="AC106" i="5"/>
  <c r="Q106" i="5"/>
  <c r="W106" i="5"/>
  <c r="AL106" i="5"/>
  <c r="T6" i="4"/>
  <c r="X38" i="3"/>
  <c r="F45" i="3"/>
  <c r="F39" i="3"/>
  <c r="F46" i="3"/>
  <c r="X45" i="3"/>
  <c r="F42" i="3"/>
  <c r="F37" i="3"/>
  <c r="X35" i="3"/>
  <c r="F35" i="3"/>
  <c r="F41" i="3"/>
  <c r="F43" i="3"/>
  <c r="L38" i="3"/>
  <c r="L40" i="3"/>
  <c r="X37" i="3"/>
  <c r="X44" i="3"/>
  <c r="AD38" i="3"/>
  <c r="F47" i="3"/>
  <c r="L43" i="3"/>
  <c r="R42" i="3"/>
  <c r="X36" i="3"/>
  <c r="R37" i="3"/>
  <c r="AD42" i="3"/>
  <c r="R35" i="3"/>
  <c r="X41" i="3"/>
  <c r="X42" i="3"/>
  <c r="R47" i="3"/>
  <c r="T7" i="4"/>
  <c r="F40" i="3"/>
  <c r="T5" i="4"/>
  <c r="F10" i="3"/>
  <c r="G19" i="3" s="1"/>
  <c r="X43" i="3"/>
  <c r="X40" i="3"/>
  <c r="X46" i="3"/>
  <c r="F44" i="3"/>
  <c r="X47" i="3"/>
  <c r="L42" i="3"/>
  <c r="L41" i="3"/>
  <c r="F38" i="3"/>
  <c r="F36" i="3"/>
  <c r="L35" i="3"/>
  <c r="AD35" i="3"/>
  <c r="AD45" i="3"/>
  <c r="AD44" i="3"/>
  <c r="T8" i="4"/>
  <c r="AD36" i="3"/>
  <c r="AR148" i="5"/>
  <c r="AJ42" i="5"/>
  <c r="AO42" i="5"/>
  <c r="AO147" i="5"/>
  <c r="AR150" i="5"/>
  <c r="AP150" i="5" s="1"/>
  <c r="AR111" i="5"/>
  <c r="AP111" i="5" s="1"/>
  <c r="AM111" i="5"/>
  <c r="AJ168" i="5"/>
  <c r="AJ163" i="5" s="1"/>
  <c r="AO168" i="5"/>
  <c r="AJ99" i="5"/>
  <c r="AO99" i="5"/>
  <c r="AJ30" i="5"/>
  <c r="AO30" i="5"/>
  <c r="AJ134" i="5"/>
  <c r="AO134" i="5"/>
  <c r="AJ161" i="5"/>
  <c r="AO161" i="5"/>
  <c r="AO146" i="5"/>
  <c r="AO127" i="5"/>
  <c r="F58" i="3"/>
  <c r="T29" i="4" s="1"/>
  <c r="J58" i="3"/>
  <c r="V29" i="4" s="1"/>
  <c r="M32" i="5"/>
  <c r="N32" i="5" s="1"/>
  <c r="Q32" i="5" s="1"/>
  <c r="T32" i="5" s="1"/>
  <c r="W32" i="5" s="1"/>
  <c r="Z32" i="5" s="1"/>
  <c r="AC32" i="5" s="1"/>
  <c r="AF32" i="5" s="1"/>
  <c r="AI32" i="5" s="1"/>
  <c r="AL32" i="5" s="1"/>
  <c r="AO32" i="5" s="1"/>
  <c r="M55" i="5"/>
  <c r="N55" i="5" s="1"/>
  <c r="AG162" i="5"/>
  <c r="AL162" i="5"/>
  <c r="AL155" i="5"/>
  <c r="AG155" i="5"/>
  <c r="AL149" i="5"/>
  <c r="AG149" i="5"/>
  <c r="M124" i="5"/>
  <c r="N124" i="5" s="1"/>
  <c r="Q124" i="5" s="1"/>
  <c r="M101" i="5"/>
  <c r="N101" i="5" s="1"/>
  <c r="Q101" i="5" s="1"/>
  <c r="M154" i="5"/>
  <c r="N154" i="5" s="1"/>
  <c r="Q154" i="5" s="1"/>
  <c r="M152" i="5"/>
  <c r="N152" i="5" s="1"/>
  <c r="Q152" i="5" s="1"/>
  <c r="M78" i="5"/>
  <c r="N78" i="5" s="1"/>
  <c r="M153" i="5"/>
  <c r="N153" i="5" s="1"/>
  <c r="Q153" i="5" s="1"/>
  <c r="BG30" i="9" l="1"/>
  <c r="BG40" i="9"/>
  <c r="BG39" i="9"/>
  <c r="BG37" i="9"/>
  <c r="BG36" i="9"/>
  <c r="BG35" i="9"/>
  <c r="BG34" i="9"/>
  <c r="BG29" i="9"/>
  <c r="BG31" i="9"/>
  <c r="BG38" i="9"/>
  <c r="BG33" i="9"/>
  <c r="BG32" i="9"/>
  <c r="BQ37" i="9"/>
  <c r="BQ31" i="9"/>
  <c r="BQ39" i="9"/>
  <c r="BQ33" i="9"/>
  <c r="BQ40" i="9"/>
  <c r="BQ34" i="9"/>
  <c r="BQ36" i="9"/>
  <c r="BQ30" i="9"/>
  <c r="BQ38" i="9"/>
  <c r="BQ29" i="9"/>
  <c r="BQ35" i="9"/>
  <c r="BQ32" i="9"/>
  <c r="AW27" i="9"/>
  <c r="AM27" i="9"/>
  <c r="AC8" i="9"/>
  <c r="AC39" i="9"/>
  <c r="AC35" i="9"/>
  <c r="AC31" i="9"/>
  <c r="AC40" i="9"/>
  <c r="AC34" i="9"/>
  <c r="AC29" i="9"/>
  <c r="AC38" i="9"/>
  <c r="AC32" i="9"/>
  <c r="AC36" i="9"/>
  <c r="AC33" i="9"/>
  <c r="AC37" i="9"/>
  <c r="AC30" i="9"/>
  <c r="AL9" i="9" a="1"/>
  <c r="AK8" i="9"/>
  <c r="AQ78" i="5"/>
  <c r="AQ124" i="5"/>
  <c r="AQ32" i="5"/>
  <c r="AQ106" i="5"/>
  <c r="AP106" i="5" s="1"/>
  <c r="AQ60" i="5"/>
  <c r="AP60" i="5" s="1"/>
  <c r="AN124" i="5"/>
  <c r="AN60" i="5"/>
  <c r="AM60" i="5" s="1"/>
  <c r="AM59" i="5" s="1"/>
  <c r="AN32" i="5"/>
  <c r="AM32" i="5" s="1"/>
  <c r="AN78" i="5"/>
  <c r="AN106" i="5"/>
  <c r="AM106" i="5" s="1"/>
  <c r="AM105" i="5" s="1"/>
  <c r="G14" i="3"/>
  <c r="G58" i="3"/>
  <c r="AD33" i="3"/>
  <c r="L33" i="3"/>
  <c r="F33" i="3"/>
  <c r="AN116" i="5"/>
  <c r="AM116" i="5" s="1"/>
  <c r="AN38" i="5"/>
  <c r="AM38" i="5" s="1"/>
  <c r="AM36" i="5" s="1"/>
  <c r="R33" i="3"/>
  <c r="X33" i="3"/>
  <c r="G15" i="3"/>
  <c r="G59" i="3"/>
  <c r="G89" i="3"/>
  <c r="G72" i="3"/>
  <c r="G71" i="3"/>
  <c r="G68" i="3"/>
  <c r="G17" i="3"/>
  <c r="G23" i="3"/>
  <c r="G94" i="3"/>
  <c r="G13" i="3"/>
  <c r="G67" i="3"/>
  <c r="G70" i="3"/>
  <c r="G22" i="3"/>
  <c r="G24" i="3"/>
  <c r="G90" i="3"/>
  <c r="G91" i="3"/>
  <c r="G18" i="3"/>
  <c r="G21" i="3"/>
  <c r="G93" i="3"/>
  <c r="G88" i="3"/>
  <c r="G16" i="3"/>
  <c r="G69" i="3"/>
  <c r="G92" i="3"/>
  <c r="G20" i="3"/>
  <c r="G60" i="3"/>
  <c r="G12" i="3"/>
  <c r="T4" i="4"/>
  <c r="AJ149" i="5"/>
  <c r="AO149" i="5"/>
  <c r="AO55" i="5"/>
  <c r="AM55" i="5" s="1"/>
  <c r="AM49" i="5" s="1"/>
  <c r="AR55" i="5"/>
  <c r="AP55" i="5" s="1"/>
  <c r="AR127" i="5"/>
  <c r="AM127" i="5"/>
  <c r="AR161" i="5"/>
  <c r="AP161" i="5" s="1"/>
  <c r="AM161" i="5"/>
  <c r="AR99" i="5"/>
  <c r="AP99" i="5" s="1"/>
  <c r="AM99" i="5"/>
  <c r="AR147" i="5"/>
  <c r="AR78" i="5"/>
  <c r="AO78" i="5"/>
  <c r="AJ155" i="5"/>
  <c r="AO155" i="5"/>
  <c r="AR32" i="5"/>
  <c r="AJ162" i="5"/>
  <c r="AO162" i="5"/>
  <c r="AR146" i="5"/>
  <c r="AR134" i="5"/>
  <c r="AP134" i="5" s="1"/>
  <c r="AM134" i="5"/>
  <c r="AR30" i="5"/>
  <c r="AP30" i="5" s="1"/>
  <c r="AM30" i="5"/>
  <c r="AR168" i="5"/>
  <c r="AP168" i="5" s="1"/>
  <c r="AP163" i="5" s="1"/>
  <c r="AM168" i="5"/>
  <c r="AM163" i="5" s="1"/>
  <c r="AR42" i="5"/>
  <c r="AP42" i="5" s="1"/>
  <c r="AM42" i="5"/>
  <c r="AF55" i="5"/>
  <c r="AL55" i="5"/>
  <c r="Z55" i="5"/>
  <c r="AC55" i="5"/>
  <c r="W55" i="5"/>
  <c r="T55" i="5"/>
  <c r="AI55" i="5"/>
  <c r="Q55" i="5"/>
  <c r="T154" i="5"/>
  <c r="T152" i="5"/>
  <c r="T153" i="5"/>
  <c r="T101" i="5"/>
  <c r="AL78" i="5"/>
  <c r="AJ78" i="5" s="1"/>
  <c r="AF78" i="5"/>
  <c r="AD78" i="5" s="1"/>
  <c r="T78" i="5"/>
  <c r="R78" i="5" s="1"/>
  <c r="AC78" i="5"/>
  <c r="AA78" i="5" s="1"/>
  <c r="W78" i="5"/>
  <c r="U78" i="5" s="1"/>
  <c r="AI78" i="5"/>
  <c r="AG78" i="5" s="1"/>
  <c r="Z78" i="5"/>
  <c r="X78" i="5" s="1"/>
  <c r="Q78" i="5"/>
  <c r="O78" i="5" s="1"/>
  <c r="T124" i="5"/>
  <c r="O124" i="5"/>
  <c r="AP32" i="5" l="1"/>
  <c r="BG27" i="9"/>
  <c r="AN37" i="9"/>
  <c r="AN34" i="9"/>
  <c r="AN40" i="9"/>
  <c r="AN33" i="9"/>
  <c r="AN32" i="9"/>
  <c r="AN36" i="9"/>
  <c r="AN39" i="9"/>
  <c r="AN35" i="9"/>
  <c r="AN38" i="9"/>
  <c r="AN29" i="9"/>
  <c r="AN31" i="9"/>
  <c r="AN28" i="9"/>
  <c r="AN30" i="9"/>
  <c r="BQ27" i="9"/>
  <c r="AM78" i="5"/>
  <c r="AX31" i="9"/>
  <c r="AX40" i="9"/>
  <c r="AX34" i="9"/>
  <c r="AX32" i="9"/>
  <c r="AX30" i="9"/>
  <c r="AX39" i="9"/>
  <c r="AX38" i="9"/>
  <c r="AX35" i="9"/>
  <c r="AX36" i="9"/>
  <c r="AX37" i="9"/>
  <c r="AX28" i="9"/>
  <c r="AX29" i="9"/>
  <c r="AX33" i="9"/>
  <c r="AL20" i="9"/>
  <c r="L23" i="3" s="1"/>
  <c r="AL16" i="9"/>
  <c r="L19" i="3" s="1"/>
  <c r="AL12" i="9"/>
  <c r="AL18" i="9"/>
  <c r="AL14" i="9"/>
  <c r="L17" i="3" s="1"/>
  <c r="AL10" i="9"/>
  <c r="AL21" i="9"/>
  <c r="AL13" i="9"/>
  <c r="AL19" i="9"/>
  <c r="L22" i="3" s="1"/>
  <c r="AL11" i="9"/>
  <c r="AL17" i="9"/>
  <c r="AL9" i="9"/>
  <c r="AL15" i="9"/>
  <c r="AC27" i="9"/>
  <c r="AD18" i="9"/>
  <c r="AD17" i="9"/>
  <c r="AD10" i="9"/>
  <c r="AD12" i="9"/>
  <c r="AD21" i="9"/>
  <c r="AD14" i="9"/>
  <c r="AD20" i="9"/>
  <c r="AD15" i="9"/>
  <c r="AD9" i="9"/>
  <c r="AD19" i="9"/>
  <c r="AD11" i="9"/>
  <c r="AD16" i="9"/>
  <c r="AD13" i="9"/>
  <c r="AP78" i="5"/>
  <c r="R49" i="3"/>
  <c r="R26" i="3" s="1"/>
  <c r="H10" i="4" s="1"/>
  <c r="R53" i="3"/>
  <c r="R30" i="3" s="1"/>
  <c r="R52" i="3"/>
  <c r="R29" i="3" s="1"/>
  <c r="R54" i="3"/>
  <c r="R31" i="3" s="1"/>
  <c r="H12" i="4" s="1"/>
  <c r="R51" i="3"/>
  <c r="M40" i="3"/>
  <c r="L49" i="3"/>
  <c r="L26" i="3" s="1"/>
  <c r="D10" i="4" s="1"/>
  <c r="L54" i="3"/>
  <c r="L31" i="3" s="1"/>
  <c r="D12" i="4" s="1"/>
  <c r="L53" i="3"/>
  <c r="L30" i="3" s="1"/>
  <c r="L52" i="3"/>
  <c r="L29" i="3" s="1"/>
  <c r="L51" i="3"/>
  <c r="M43" i="3"/>
  <c r="G35" i="3"/>
  <c r="F49" i="3"/>
  <c r="F26" i="3" s="1"/>
  <c r="F53" i="3"/>
  <c r="F30" i="3" s="1"/>
  <c r="G30" i="3" s="1"/>
  <c r="F54" i="3"/>
  <c r="F31" i="3" s="1"/>
  <c r="F52" i="3"/>
  <c r="F29" i="3" s="1"/>
  <c r="G29" i="3" s="1"/>
  <c r="F51" i="3"/>
  <c r="AD49" i="3"/>
  <c r="AD26" i="3" s="1"/>
  <c r="P10" i="4" s="1"/>
  <c r="AD52" i="3"/>
  <c r="AD29" i="3" s="1"/>
  <c r="AD53" i="3"/>
  <c r="AD30" i="3" s="1"/>
  <c r="AD54" i="3"/>
  <c r="AD31" i="3" s="1"/>
  <c r="P12" i="4" s="1"/>
  <c r="AD51" i="3"/>
  <c r="M41" i="3"/>
  <c r="P13" i="4"/>
  <c r="P64" i="4" s="1"/>
  <c r="X49" i="3"/>
  <c r="X26" i="3" s="1"/>
  <c r="L10" i="4" s="1"/>
  <c r="X54" i="3"/>
  <c r="X31" i="3" s="1"/>
  <c r="L12" i="4" s="1"/>
  <c r="X52" i="3"/>
  <c r="X29" i="3" s="1"/>
  <c r="X53" i="3"/>
  <c r="X30" i="3" s="1"/>
  <c r="X51" i="3"/>
  <c r="M35" i="3"/>
  <c r="M38" i="3"/>
  <c r="G39" i="3"/>
  <c r="L13" i="4"/>
  <c r="L64" i="4" s="1"/>
  <c r="L12" i="3" a="1"/>
  <c r="AN147" i="5"/>
  <c r="AM147" i="5" s="1"/>
  <c r="AN148" i="5"/>
  <c r="AM148" i="5" s="1"/>
  <c r="AN122" i="5"/>
  <c r="AM122" i="5" s="1"/>
  <c r="T63" i="4"/>
  <c r="AN154" i="5"/>
  <c r="AN152" i="5"/>
  <c r="AN153" i="5"/>
  <c r="AN146" i="5"/>
  <c r="AM146" i="5" s="1"/>
  <c r="H13" i="4"/>
  <c r="H64" i="4" s="1"/>
  <c r="M42" i="3"/>
  <c r="D13" i="4"/>
  <c r="D64" i="4" s="1"/>
  <c r="M39" i="3"/>
  <c r="M36" i="3"/>
  <c r="M44" i="3"/>
  <c r="M46" i="3"/>
  <c r="M37" i="3"/>
  <c r="M45" i="3"/>
  <c r="M47" i="3"/>
  <c r="F8" i="3"/>
  <c r="G33" i="3" s="1"/>
  <c r="G47" i="3"/>
  <c r="G44" i="3"/>
  <c r="G38" i="3"/>
  <c r="G46" i="3"/>
  <c r="G36" i="3"/>
  <c r="G43" i="3"/>
  <c r="T13" i="4"/>
  <c r="T64" i="4" s="1"/>
  <c r="AN136" i="5" s="1"/>
  <c r="G45" i="3"/>
  <c r="G41" i="3"/>
  <c r="G37" i="3"/>
  <c r="G40" i="3"/>
  <c r="G42" i="3"/>
  <c r="AR162" i="5"/>
  <c r="AP162" i="5" s="1"/>
  <c r="AM162" i="5"/>
  <c r="AM157" i="5" s="1"/>
  <c r="AR155" i="5"/>
  <c r="AP155" i="5" s="1"/>
  <c r="AM155" i="5"/>
  <c r="AM43" i="5"/>
  <c r="AR149" i="5"/>
  <c r="AP149" i="5" s="1"/>
  <c r="AM149" i="5"/>
  <c r="W152" i="5"/>
  <c r="W124" i="5"/>
  <c r="R124" i="5"/>
  <c r="W153" i="5"/>
  <c r="W101" i="5"/>
  <c r="W154" i="5"/>
  <c r="L21" i="3" l="1"/>
  <c r="AX27" i="9"/>
  <c r="AY29" i="9" a="1"/>
  <c r="BR35" i="9"/>
  <c r="BR30" i="9"/>
  <c r="BR38" i="9"/>
  <c r="BR31" i="9"/>
  <c r="BR29" i="9"/>
  <c r="BR37" i="9"/>
  <c r="BR34" i="9"/>
  <c r="BR33" i="9"/>
  <c r="BR36" i="9"/>
  <c r="BR39" i="9"/>
  <c r="BR40" i="9"/>
  <c r="BR28" i="9"/>
  <c r="BR32" i="9"/>
  <c r="AO29" i="9" a="1"/>
  <c r="AN27" i="9"/>
  <c r="BH38" i="9"/>
  <c r="BH34" i="9"/>
  <c r="BH28" i="9"/>
  <c r="BH33" i="9"/>
  <c r="BH37" i="9"/>
  <c r="BH32" i="9"/>
  <c r="BH40" i="9"/>
  <c r="BH35" i="9"/>
  <c r="BH29" i="9"/>
  <c r="BH30" i="9"/>
  <c r="BH36" i="9"/>
  <c r="BH31" i="9"/>
  <c r="BH39" i="9"/>
  <c r="AU9" i="9" a="1"/>
  <c r="AL8" i="9"/>
  <c r="AM9" i="9" a="1"/>
  <c r="AD8" i="9"/>
  <c r="AE10" i="9" a="1"/>
  <c r="AD39" i="9"/>
  <c r="AD34" i="9"/>
  <c r="AD33" i="9"/>
  <c r="AD29" i="9"/>
  <c r="AD35" i="9"/>
  <c r="AD30" i="9"/>
  <c r="AD40" i="9"/>
  <c r="AD31" i="9"/>
  <c r="AD37" i="9"/>
  <c r="AD28" i="9"/>
  <c r="AD38" i="9"/>
  <c r="AD36" i="9"/>
  <c r="AD32" i="9"/>
  <c r="AD50" i="3"/>
  <c r="P15" i="4" s="1"/>
  <c r="P14" i="4" s="1"/>
  <c r="AD28" i="3"/>
  <c r="AD27" i="3" s="1"/>
  <c r="P11" i="4" s="1"/>
  <c r="G31" i="3"/>
  <c r="T12" i="4"/>
  <c r="AN135" i="5"/>
  <c r="AO4" i="5" s="1"/>
  <c r="L13" i="3"/>
  <c r="L14" i="3"/>
  <c r="AN49" i="5"/>
  <c r="AO49" i="5" s="1"/>
  <c r="AN151" i="5"/>
  <c r="AN67" i="5"/>
  <c r="AO67" i="5" s="1"/>
  <c r="AN26" i="5"/>
  <c r="AN145" i="5"/>
  <c r="AN59" i="5"/>
  <c r="AO59" i="5" s="1"/>
  <c r="AN20" i="5"/>
  <c r="AN118" i="5"/>
  <c r="AN21" i="5"/>
  <c r="AO21" i="5" s="1"/>
  <c r="AN113" i="5"/>
  <c r="AN112" i="5"/>
  <c r="AN19" i="5"/>
  <c r="AO5" i="5" s="1"/>
  <c r="AN128" i="5"/>
  <c r="AO128" i="5" s="1"/>
  <c r="AN66" i="5"/>
  <c r="AN157" i="5"/>
  <c r="AO157" i="5" s="1"/>
  <c r="AN89" i="5"/>
  <c r="AN90" i="5"/>
  <c r="AO90" i="5" s="1"/>
  <c r="AN105" i="5"/>
  <c r="AO105" i="5" s="1"/>
  <c r="AN95" i="5"/>
  <c r="AN44" i="5"/>
  <c r="AO44" i="5" s="1"/>
  <c r="AN82" i="5"/>
  <c r="AO82" i="5" s="1"/>
  <c r="AN36" i="5"/>
  <c r="AO36" i="5" s="1"/>
  <c r="AN43" i="5"/>
  <c r="AO43" i="5" s="1"/>
  <c r="AN72" i="5"/>
  <c r="AN163" i="5"/>
  <c r="AO163" i="5" s="1"/>
  <c r="X50" i="3"/>
  <c r="L15" i="4" s="1"/>
  <c r="L14" i="4" s="1"/>
  <c r="X28" i="3"/>
  <c r="X27" i="3" s="1"/>
  <c r="L11" i="4" s="1"/>
  <c r="L18" i="3"/>
  <c r="AM145" i="5"/>
  <c r="L24" i="3"/>
  <c r="L20" i="3"/>
  <c r="L15" i="3"/>
  <c r="T3" i="4"/>
  <c r="G10" i="3"/>
  <c r="R50" i="3"/>
  <c r="H15" i="4" s="1"/>
  <c r="H14" i="4" s="1"/>
  <c r="R28" i="3"/>
  <c r="R27" i="3" s="1"/>
  <c r="H11" i="4" s="1"/>
  <c r="L12" i="3"/>
  <c r="F50" i="3"/>
  <c r="T15" i="4" s="1"/>
  <c r="AN138" i="5" s="1"/>
  <c r="AM138" i="5" s="1"/>
  <c r="F28" i="3"/>
  <c r="L16" i="3"/>
  <c r="G26" i="3"/>
  <c r="T10" i="4"/>
  <c r="L50" i="3"/>
  <c r="D15" i="4" s="1"/>
  <c r="D14" i="4" s="1"/>
  <c r="L28" i="3"/>
  <c r="L27" i="3" s="1"/>
  <c r="D11" i="4" s="1"/>
  <c r="Z124" i="5"/>
  <c r="U124" i="5"/>
  <c r="Z152" i="5"/>
  <c r="Z153" i="5"/>
  <c r="Z154" i="5"/>
  <c r="Z101" i="5"/>
  <c r="P92" i="5"/>
  <c r="O92" i="5" s="1"/>
  <c r="M61" i="3" l="1"/>
  <c r="M62" i="3"/>
  <c r="M63" i="3"/>
  <c r="BI29" i="9" a="1"/>
  <c r="BH27" i="9"/>
  <c r="AO35" i="9"/>
  <c r="AO40" i="9"/>
  <c r="AO34" i="9"/>
  <c r="AO33" i="9"/>
  <c r="AO38" i="9"/>
  <c r="AO39" i="9"/>
  <c r="AO30" i="9"/>
  <c r="AO29" i="9"/>
  <c r="AO31" i="9"/>
  <c r="AO32" i="9"/>
  <c r="AO36" i="9"/>
  <c r="AO37" i="9"/>
  <c r="BR27" i="9"/>
  <c r="BS29" i="9" a="1"/>
  <c r="AY30" i="9"/>
  <c r="AY40" i="9"/>
  <c r="AY31" i="9"/>
  <c r="AY33" i="9"/>
  <c r="AY32" i="9"/>
  <c r="AY34" i="9"/>
  <c r="AY29" i="9"/>
  <c r="AY39" i="9"/>
  <c r="AY37" i="9"/>
  <c r="AY36" i="9"/>
  <c r="AY35" i="9"/>
  <c r="AY38" i="9"/>
  <c r="AO6" i="5"/>
  <c r="AE29" i="9" a="1"/>
  <c r="AD27" i="9"/>
  <c r="AM18" i="9"/>
  <c r="AM14" i="9"/>
  <c r="AM10" i="9"/>
  <c r="AM20" i="9"/>
  <c r="AM16" i="9"/>
  <c r="AM12" i="9"/>
  <c r="AM15" i="9"/>
  <c r="AM21" i="9"/>
  <c r="AM13" i="9"/>
  <c r="AM19" i="9"/>
  <c r="AM11" i="9"/>
  <c r="AM17" i="9"/>
  <c r="AM9" i="9"/>
  <c r="AE18" i="9"/>
  <c r="AE14" i="9"/>
  <c r="AE10" i="9"/>
  <c r="AE20" i="9"/>
  <c r="AE16" i="9"/>
  <c r="AE12" i="9"/>
  <c r="AE15" i="9"/>
  <c r="AE19" i="9"/>
  <c r="AE11" i="9"/>
  <c r="AE17" i="9"/>
  <c r="AE13" i="9"/>
  <c r="AE21" i="9"/>
  <c r="AU18" i="9"/>
  <c r="AU14" i="9"/>
  <c r="AU10" i="9"/>
  <c r="AU20" i="9"/>
  <c r="AU16" i="9"/>
  <c r="AU12" i="9"/>
  <c r="AU15" i="9"/>
  <c r="AU21" i="9"/>
  <c r="AU13" i="9"/>
  <c r="AU19" i="9"/>
  <c r="AU11" i="9"/>
  <c r="AU17" i="9"/>
  <c r="AU9" i="9"/>
  <c r="AO145" i="5"/>
  <c r="L10" i="3"/>
  <c r="M16" i="3" s="1"/>
  <c r="D5" i="4"/>
  <c r="AN123" i="5"/>
  <c r="AM123" i="5" s="1"/>
  <c r="AN121" i="5"/>
  <c r="AM121" i="5" s="1"/>
  <c r="AN33" i="5"/>
  <c r="AM33" i="5" s="1"/>
  <c r="AM26" i="5" s="1"/>
  <c r="AN79" i="5"/>
  <c r="AM79" i="5" s="1"/>
  <c r="AM72" i="5" s="1"/>
  <c r="AN117" i="5"/>
  <c r="AM117" i="5" s="1"/>
  <c r="D8" i="4"/>
  <c r="T14" i="4"/>
  <c r="AN137" i="5" s="1"/>
  <c r="AM137" i="5" s="1"/>
  <c r="AM136" i="5" s="1"/>
  <c r="G28" i="3"/>
  <c r="F27" i="3"/>
  <c r="D6" i="4"/>
  <c r="D7" i="4"/>
  <c r="AC124" i="5"/>
  <c r="X124" i="5"/>
  <c r="AC101" i="5"/>
  <c r="P115" i="5"/>
  <c r="O115" i="5" s="1"/>
  <c r="P138" i="5"/>
  <c r="O138" i="5" s="1"/>
  <c r="AC153" i="5"/>
  <c r="P137" i="5"/>
  <c r="O137" i="5" s="1"/>
  <c r="P135" i="5"/>
  <c r="Q4" i="5" s="1"/>
  <c r="P136" i="5"/>
  <c r="AC152" i="5"/>
  <c r="AC154" i="5"/>
  <c r="BS39" i="9" l="1"/>
  <c r="BS33" i="9"/>
  <c r="BS30" i="9"/>
  <c r="BS35" i="9"/>
  <c r="BS29" i="9"/>
  <c r="BS31" i="9"/>
  <c r="BS32" i="9"/>
  <c r="BS40" i="9"/>
  <c r="BS38" i="9"/>
  <c r="BS36" i="9"/>
  <c r="BS34" i="9"/>
  <c r="BS37" i="9"/>
  <c r="AY27" i="9"/>
  <c r="AO27" i="9"/>
  <c r="BI40" i="9"/>
  <c r="BI35" i="9"/>
  <c r="BI30" i="9"/>
  <c r="BI36" i="9"/>
  <c r="BI33" i="9"/>
  <c r="BI32" i="9"/>
  <c r="BI29" i="9"/>
  <c r="BI39" i="9"/>
  <c r="BI34" i="9"/>
  <c r="BI37" i="9"/>
  <c r="BI31" i="9"/>
  <c r="BI38" i="9"/>
  <c r="AV9" i="9" a="1"/>
  <c r="AU8" i="9"/>
  <c r="AN9" i="9" a="1"/>
  <c r="AM8" i="9"/>
  <c r="AE8" i="9"/>
  <c r="AE37" i="9"/>
  <c r="AE33" i="9"/>
  <c r="AE29" i="9"/>
  <c r="AE36" i="9"/>
  <c r="AE31" i="9"/>
  <c r="AE39" i="9"/>
  <c r="AE32" i="9"/>
  <c r="AE35" i="9"/>
  <c r="AE34" i="9"/>
  <c r="AE40" i="9"/>
  <c r="AE38" i="9"/>
  <c r="AE30" i="9"/>
  <c r="AM135" i="5"/>
  <c r="AO136" i="5"/>
  <c r="M21" i="3"/>
  <c r="M15" i="3"/>
  <c r="M23" i="3"/>
  <c r="L8" i="3"/>
  <c r="M22" i="3"/>
  <c r="M29" i="3"/>
  <c r="M12" i="3"/>
  <c r="M18" i="3"/>
  <c r="M26" i="3"/>
  <c r="M30" i="3"/>
  <c r="M17" i="3"/>
  <c r="M28" i="3"/>
  <c r="M24" i="3"/>
  <c r="M19" i="3"/>
  <c r="M27" i="3"/>
  <c r="M14" i="3"/>
  <c r="M13" i="3"/>
  <c r="M31" i="3"/>
  <c r="G27" i="3"/>
  <c r="T11" i="4"/>
  <c r="AM66" i="5"/>
  <c r="AO66" i="5" s="1"/>
  <c r="AO72" i="5"/>
  <c r="AO26" i="5"/>
  <c r="AM20" i="5"/>
  <c r="AO20" i="5" s="1"/>
  <c r="D9" i="4"/>
  <c r="D4" i="4"/>
  <c r="M20" i="3"/>
  <c r="M68" i="3"/>
  <c r="L94" i="3"/>
  <c r="M92" i="3"/>
  <c r="M71" i="3"/>
  <c r="L69" i="3"/>
  <c r="M70" i="3"/>
  <c r="M89" i="3"/>
  <c r="M59" i="3"/>
  <c r="L72" i="3"/>
  <c r="L93" i="3"/>
  <c r="M60" i="3"/>
  <c r="P116" i="5"/>
  <c r="O116" i="5" s="1"/>
  <c r="P38" i="5"/>
  <c r="O38" i="5" s="1"/>
  <c r="P47" i="5"/>
  <c r="O47" i="5" s="1"/>
  <c r="O136" i="5"/>
  <c r="O135" i="5" s="1"/>
  <c r="P70" i="5"/>
  <c r="O70" i="5" s="1"/>
  <c r="P93" i="5"/>
  <c r="O93" i="5" s="1"/>
  <c r="O24" i="5"/>
  <c r="P158" i="5"/>
  <c r="O158" i="5" s="1"/>
  <c r="AF152" i="5"/>
  <c r="P114" i="5"/>
  <c r="O114" i="5" s="1"/>
  <c r="AF153" i="5"/>
  <c r="AF101" i="5"/>
  <c r="AF124" i="5"/>
  <c r="AA124" i="5"/>
  <c r="AF154" i="5"/>
  <c r="M58" i="3"/>
  <c r="AP32" i="9" l="1"/>
  <c r="AP29" i="9"/>
  <c r="AP33" i="9"/>
  <c r="AP39" i="9"/>
  <c r="AP28" i="9"/>
  <c r="AP31" i="9"/>
  <c r="AP34" i="9"/>
  <c r="AP40" i="9"/>
  <c r="AP38" i="9"/>
  <c r="AP36" i="9"/>
  <c r="AP30" i="9"/>
  <c r="AP37" i="9"/>
  <c r="AP35" i="9"/>
  <c r="BI27" i="9"/>
  <c r="AZ32" i="9"/>
  <c r="AZ39" i="9"/>
  <c r="AZ33" i="9"/>
  <c r="AZ40" i="9"/>
  <c r="AZ35" i="9"/>
  <c r="AZ29" i="9"/>
  <c r="AZ37" i="9"/>
  <c r="AZ36" i="9"/>
  <c r="AZ31" i="9"/>
  <c r="AZ38" i="9"/>
  <c r="AZ28" i="9"/>
  <c r="AZ34" i="9"/>
  <c r="AZ30" i="9"/>
  <c r="BS27" i="9"/>
  <c r="Q14" i="5"/>
  <c r="K6" i="10" s="1"/>
  <c r="Q10" i="5"/>
  <c r="AO14" i="5"/>
  <c r="AO10" i="5"/>
  <c r="AE27" i="9"/>
  <c r="AN20" i="9"/>
  <c r="AN16" i="9"/>
  <c r="AN12" i="9"/>
  <c r="AN18" i="9"/>
  <c r="AN14" i="9"/>
  <c r="AN10" i="9"/>
  <c r="AN17" i="9"/>
  <c r="AN9" i="9"/>
  <c r="AN15" i="9"/>
  <c r="AN21" i="9"/>
  <c r="AN13" i="9"/>
  <c r="AN19" i="9"/>
  <c r="AN11" i="9"/>
  <c r="AF12" i="9"/>
  <c r="AF18" i="9"/>
  <c r="H21" i="3" s="1"/>
  <c r="AF15" i="9"/>
  <c r="AF10" i="9"/>
  <c r="AF13" i="9"/>
  <c r="H16" i="3" s="1"/>
  <c r="AF9" i="9"/>
  <c r="AF21" i="9"/>
  <c r="AF14" i="9"/>
  <c r="AF19" i="9"/>
  <c r="AF11" i="9"/>
  <c r="H14" i="3" s="1"/>
  <c r="AF16" i="9"/>
  <c r="AF20" i="9"/>
  <c r="AF17" i="9"/>
  <c r="AV20" i="9"/>
  <c r="AV16" i="9"/>
  <c r="AV12" i="9"/>
  <c r="AV18" i="9"/>
  <c r="AV14" i="9"/>
  <c r="R17" i="3" s="1"/>
  <c r="AV10" i="9"/>
  <c r="AV17" i="9"/>
  <c r="AV9" i="9"/>
  <c r="AV15" i="9"/>
  <c r="R18" i="3" s="1"/>
  <c r="AV21" i="9"/>
  <c r="AV13" i="9"/>
  <c r="AV19" i="9"/>
  <c r="AV11" i="9"/>
  <c r="H12" i="3" a="1"/>
  <c r="AF35" i="3" a="1"/>
  <c r="T9" i="4"/>
  <c r="AN115" i="5"/>
  <c r="AM115" i="5" s="1"/>
  <c r="AM113" i="5" s="1"/>
  <c r="AO113" i="5" s="1"/>
  <c r="M10" i="3"/>
  <c r="M33" i="3"/>
  <c r="D3" i="4"/>
  <c r="P117" i="5" s="1"/>
  <c r="O117" i="5" s="1"/>
  <c r="O113" i="5" s="1"/>
  <c r="R12" i="3" a="1"/>
  <c r="D63" i="4"/>
  <c r="P148" i="5"/>
  <c r="O148" i="5" s="1"/>
  <c r="P122" i="5"/>
  <c r="O122" i="5" s="1"/>
  <c r="P154" i="5"/>
  <c r="O154" i="5" s="1"/>
  <c r="P152" i="5"/>
  <c r="O152" i="5" s="1"/>
  <c r="P147" i="5"/>
  <c r="O147" i="5" s="1"/>
  <c r="P153" i="5"/>
  <c r="O153" i="5" s="1"/>
  <c r="P146" i="5"/>
  <c r="O146" i="5" s="1"/>
  <c r="AO135" i="5"/>
  <c r="M91" i="3"/>
  <c r="D58" i="4"/>
  <c r="P83" i="5" s="1"/>
  <c r="O83" i="5" s="1"/>
  <c r="M93" i="3"/>
  <c r="D60" i="4"/>
  <c r="P101" i="5" s="1"/>
  <c r="O101" i="5" s="1"/>
  <c r="M94" i="3"/>
  <c r="D61" i="4"/>
  <c r="P81" i="5" s="1"/>
  <c r="O81" i="5" s="1"/>
  <c r="M90" i="3"/>
  <c r="D57" i="4"/>
  <c r="P68" i="5" s="1"/>
  <c r="O68" i="5" s="1"/>
  <c r="M72" i="3"/>
  <c r="D42" i="4"/>
  <c r="D39" i="4" s="1"/>
  <c r="M69" i="3"/>
  <c r="D38" i="4"/>
  <c r="D36" i="4" s="1"/>
  <c r="Q136" i="5"/>
  <c r="P48" i="5"/>
  <c r="O48" i="5" s="1"/>
  <c r="P91" i="5"/>
  <c r="O91" i="5" s="1"/>
  <c r="P45" i="5"/>
  <c r="O45" i="5" s="1"/>
  <c r="AI154" i="5"/>
  <c r="AI124" i="5"/>
  <c r="AD124" i="5"/>
  <c r="AI153" i="5"/>
  <c r="P23" i="5"/>
  <c r="O23" i="5" s="1"/>
  <c r="P46" i="5"/>
  <c r="O46" i="5" s="1"/>
  <c r="AI152" i="5"/>
  <c r="L67" i="3"/>
  <c r="D35" i="4" s="1"/>
  <c r="Q135" i="5"/>
  <c r="AI101" i="5"/>
  <c r="P51" i="5"/>
  <c r="O51" i="5" s="1"/>
  <c r="L88" i="3"/>
  <c r="D55" i="4" s="1"/>
  <c r="P159" i="5"/>
  <c r="O159" i="5" s="1"/>
  <c r="O157" i="5" s="1"/>
  <c r="P96" i="5"/>
  <c r="O96" i="5" s="1"/>
  <c r="P131" i="5"/>
  <c r="O131" i="5" s="1"/>
  <c r="P119" i="5"/>
  <c r="O119" i="5" s="1"/>
  <c r="P27" i="5"/>
  <c r="O27" i="5" s="1"/>
  <c r="P130" i="5"/>
  <c r="O130" i="5" s="1"/>
  <c r="R15" i="3" l="1"/>
  <c r="BT36" i="9"/>
  <c r="AF43" i="3" s="1"/>
  <c r="BT29" i="9"/>
  <c r="AF36" i="3" s="1"/>
  <c r="BT40" i="9"/>
  <c r="AF47" i="3" s="1"/>
  <c r="BT30" i="9"/>
  <c r="AF37" i="3" s="1"/>
  <c r="BT32" i="9"/>
  <c r="AF39" i="3" s="1"/>
  <c r="BT34" i="9"/>
  <c r="AF41" i="3" s="1"/>
  <c r="BT38" i="9"/>
  <c r="AF45" i="3" s="1"/>
  <c r="BT39" i="9"/>
  <c r="AF46" i="3" s="1"/>
  <c r="BT28" i="9"/>
  <c r="AF35" i="3" s="1"/>
  <c r="BT37" i="9"/>
  <c r="AF44" i="3" s="1"/>
  <c r="BT31" i="9"/>
  <c r="AF38" i="3" s="1"/>
  <c r="BT35" i="9"/>
  <c r="AF42" i="3" s="1"/>
  <c r="BT33" i="9"/>
  <c r="AF40" i="3" s="1"/>
  <c r="BJ30" i="9"/>
  <c r="BJ40" i="9"/>
  <c r="BJ29" i="9"/>
  <c r="BJ31" i="9"/>
  <c r="BJ37" i="9"/>
  <c r="BJ39" i="9"/>
  <c r="BJ38" i="9"/>
  <c r="BJ36" i="9"/>
  <c r="BJ28" i="9"/>
  <c r="BJ35" i="9"/>
  <c r="BJ34" i="9"/>
  <c r="BJ33" i="9"/>
  <c r="BJ32" i="9"/>
  <c r="H20" i="3"/>
  <c r="AZ27" i="9"/>
  <c r="BA29" i="9" a="1"/>
  <c r="AQ29" i="9" a="1"/>
  <c r="AP27" i="9"/>
  <c r="AG10" i="9" a="1"/>
  <c r="AF8" i="9"/>
  <c r="AO9" i="9" a="1"/>
  <c r="BE9" i="9" a="1"/>
  <c r="AV8" i="9"/>
  <c r="AN8" i="9"/>
  <c r="AW9" i="9" a="1"/>
  <c r="AF34" i="9"/>
  <c r="AF36" i="9"/>
  <c r="AF32" i="9"/>
  <c r="AF30" i="9"/>
  <c r="AF35" i="9"/>
  <c r="AF31" i="9"/>
  <c r="AF37" i="9"/>
  <c r="AF29" i="9"/>
  <c r="AF28" i="9"/>
  <c r="AF38" i="9"/>
  <c r="AF33" i="9"/>
  <c r="AF40" i="9"/>
  <c r="AF39" i="9"/>
  <c r="R14" i="3"/>
  <c r="R20" i="3"/>
  <c r="R23" i="3"/>
  <c r="R12" i="3"/>
  <c r="R13" i="3"/>
  <c r="H19" i="3"/>
  <c r="H15" i="3"/>
  <c r="O151" i="5"/>
  <c r="O145" i="5"/>
  <c r="O128" i="5"/>
  <c r="H22" i="3"/>
  <c r="H24" i="3"/>
  <c r="R24" i="3"/>
  <c r="H13" i="3"/>
  <c r="R22" i="3"/>
  <c r="H17" i="3"/>
  <c r="R19" i="3"/>
  <c r="R16" i="3"/>
  <c r="H18" i="3"/>
  <c r="Z35" i="3" a="1"/>
  <c r="H12" i="3"/>
  <c r="H23" i="3"/>
  <c r="N35" i="3" a="1"/>
  <c r="N35" i="3" s="1"/>
  <c r="T35" i="3" a="1"/>
  <c r="T47" i="3" s="1"/>
  <c r="R21" i="3"/>
  <c r="H35" i="3" a="1"/>
  <c r="P69" i="5"/>
  <c r="O69" i="5" s="1"/>
  <c r="P57" i="5"/>
  <c r="O57" i="5" s="1"/>
  <c r="P58" i="5"/>
  <c r="O58" i="5" s="1"/>
  <c r="P22" i="5"/>
  <c r="O22" i="5" s="1"/>
  <c r="P35" i="5"/>
  <c r="O35" i="5" s="1"/>
  <c r="P73" i="5"/>
  <c r="O73" i="5" s="1"/>
  <c r="P55" i="5"/>
  <c r="O55" i="5" s="1"/>
  <c r="P53" i="5"/>
  <c r="O53" i="5" s="1"/>
  <c r="P50" i="5"/>
  <c r="O50" i="5" s="1"/>
  <c r="M88" i="3"/>
  <c r="AL101" i="5"/>
  <c r="P80" i="5"/>
  <c r="O80" i="5" s="1"/>
  <c r="P52" i="5"/>
  <c r="O52" i="5" s="1"/>
  <c r="O44" i="5"/>
  <c r="P112" i="5"/>
  <c r="P113" i="5"/>
  <c r="Q113" i="5" s="1"/>
  <c r="P26" i="5"/>
  <c r="P89" i="5"/>
  <c r="P66" i="5"/>
  <c r="P118" i="5"/>
  <c r="P21" i="5"/>
  <c r="P151" i="5"/>
  <c r="P128" i="5"/>
  <c r="P163" i="5"/>
  <c r="Q163" i="5" s="1"/>
  <c r="P36" i="5"/>
  <c r="P145" i="5"/>
  <c r="P19" i="5"/>
  <c r="Q5" i="5" s="1"/>
  <c r="Q6" i="5" s="1"/>
  <c r="P95" i="5"/>
  <c r="P43" i="5"/>
  <c r="P157" i="5"/>
  <c r="Q157" i="5" s="1"/>
  <c r="P82" i="5"/>
  <c r="P49" i="5"/>
  <c r="P90" i="5"/>
  <c r="P105" i="5"/>
  <c r="P59" i="5"/>
  <c r="Q59" i="5" s="1"/>
  <c r="P72" i="5"/>
  <c r="P67" i="5"/>
  <c r="P44" i="5"/>
  <c r="P20" i="5"/>
  <c r="P123" i="5"/>
  <c r="O123" i="5" s="1"/>
  <c r="P126" i="5"/>
  <c r="O126" i="5" s="1"/>
  <c r="P121" i="5"/>
  <c r="O121" i="5" s="1"/>
  <c r="P79" i="5"/>
  <c r="O79" i="5" s="1"/>
  <c r="P102" i="5"/>
  <c r="O102" i="5" s="1"/>
  <c r="P33" i="5"/>
  <c r="O33" i="5" s="1"/>
  <c r="P125" i="5"/>
  <c r="O125" i="5" s="1"/>
  <c r="M67" i="3"/>
  <c r="AL153" i="5"/>
  <c r="AL154" i="5"/>
  <c r="AL152" i="5"/>
  <c r="AL124" i="5"/>
  <c r="AG124" i="5"/>
  <c r="P77" i="5"/>
  <c r="O77" i="5" s="1"/>
  <c r="P75" i="5"/>
  <c r="O75" i="5" s="1"/>
  <c r="P37" i="5"/>
  <c r="O37" i="5" s="1"/>
  <c r="P85" i="5"/>
  <c r="O85" i="5" s="1"/>
  <c r="P108" i="5"/>
  <c r="O108" i="5" s="1"/>
  <c r="P107" i="5"/>
  <c r="O107" i="5" s="1"/>
  <c r="P32" i="5"/>
  <c r="O32" i="5" s="1"/>
  <c r="P106" i="5"/>
  <c r="O106" i="5" s="1"/>
  <c r="P39" i="5"/>
  <c r="O39" i="5" s="1"/>
  <c r="P84" i="5"/>
  <c r="O84" i="5" s="1"/>
  <c r="S62" i="3" l="1"/>
  <c r="S63" i="3"/>
  <c r="H5" i="4"/>
  <c r="S61" i="3"/>
  <c r="J77" i="3"/>
  <c r="V45" i="4" s="1"/>
  <c r="Z38" i="3"/>
  <c r="J79" i="3"/>
  <c r="V47" i="4" s="1"/>
  <c r="AQ33" i="9"/>
  <c r="AQ32" i="9"/>
  <c r="AQ35" i="9"/>
  <c r="AQ29" i="9"/>
  <c r="AQ34" i="9"/>
  <c r="AQ31" i="9"/>
  <c r="AQ36" i="9"/>
  <c r="AQ37" i="9"/>
  <c r="AQ38" i="9"/>
  <c r="AQ30" i="9"/>
  <c r="AQ40" i="9"/>
  <c r="AQ39" i="9"/>
  <c r="BK29" i="9" a="1"/>
  <c r="BJ27" i="9"/>
  <c r="BA32" i="9"/>
  <c r="BA38" i="9"/>
  <c r="BA37" i="9"/>
  <c r="BA35" i="9"/>
  <c r="BA30" i="9"/>
  <c r="BA36" i="9"/>
  <c r="BA31" i="9"/>
  <c r="BA33" i="9"/>
  <c r="BA39" i="9"/>
  <c r="BA34" i="9"/>
  <c r="BA29" i="9"/>
  <c r="BA40" i="9"/>
  <c r="BT27" i="9"/>
  <c r="BU29" i="9" a="1"/>
  <c r="AO18" i="9"/>
  <c r="AO14" i="9"/>
  <c r="AO10" i="9"/>
  <c r="AO20" i="9"/>
  <c r="AO16" i="9"/>
  <c r="AO12" i="9"/>
  <c r="AO19" i="9"/>
  <c r="AO11" i="9"/>
  <c r="AO17" i="9"/>
  <c r="AO9" i="9"/>
  <c r="AO15" i="9"/>
  <c r="AO21" i="9"/>
  <c r="AO13" i="9"/>
  <c r="V20" i="4"/>
  <c r="AG29" i="9" a="1"/>
  <c r="AF27" i="9"/>
  <c r="BE20" i="9"/>
  <c r="BE16" i="9"/>
  <c r="BE12" i="9"/>
  <c r="BE18" i="9"/>
  <c r="BE14" i="9"/>
  <c r="BE10" i="9"/>
  <c r="BE21" i="9"/>
  <c r="BE13" i="9"/>
  <c r="BE17" i="9"/>
  <c r="BE9" i="9"/>
  <c r="BE19" i="9"/>
  <c r="BE15" i="9"/>
  <c r="BE11" i="9"/>
  <c r="AW18" i="9"/>
  <c r="AW14" i="9"/>
  <c r="AW10" i="9"/>
  <c r="AW20" i="9"/>
  <c r="AW16" i="9"/>
  <c r="AW12" i="9"/>
  <c r="AW19" i="9"/>
  <c r="AW11" i="9"/>
  <c r="AW17" i="9"/>
  <c r="AW9" i="9"/>
  <c r="AW15" i="9"/>
  <c r="AW21" i="9"/>
  <c r="AW13" i="9"/>
  <c r="AG20" i="9"/>
  <c r="AG16" i="9"/>
  <c r="AG12" i="9"/>
  <c r="AG18" i="9"/>
  <c r="AG14" i="9"/>
  <c r="AG10" i="9"/>
  <c r="AG17" i="9"/>
  <c r="AG21" i="9"/>
  <c r="AG13" i="9"/>
  <c r="AG19" i="9"/>
  <c r="AG15" i="9"/>
  <c r="AG11" i="9"/>
  <c r="Z46" i="3"/>
  <c r="N36" i="3"/>
  <c r="N44" i="3"/>
  <c r="N37" i="3"/>
  <c r="N39" i="3"/>
  <c r="Z43" i="3"/>
  <c r="Z44" i="3"/>
  <c r="Z41" i="3"/>
  <c r="Z40" i="3"/>
  <c r="N43" i="3"/>
  <c r="Z35" i="3"/>
  <c r="Z37" i="3"/>
  <c r="Z39" i="3"/>
  <c r="Z47" i="3"/>
  <c r="Z45" i="3"/>
  <c r="N46" i="3"/>
  <c r="Q151" i="5"/>
  <c r="R10" i="3"/>
  <c r="S30" i="3" s="1"/>
  <c r="J78" i="3"/>
  <c r="V46" i="4" s="1"/>
  <c r="Q128" i="5"/>
  <c r="Q145" i="5"/>
  <c r="T44" i="3"/>
  <c r="H8" i="4"/>
  <c r="Z42" i="3"/>
  <c r="T36" i="3"/>
  <c r="T38" i="3"/>
  <c r="N42" i="3"/>
  <c r="T41" i="3"/>
  <c r="H6" i="4"/>
  <c r="H43" i="3"/>
  <c r="H44" i="3"/>
  <c r="H40" i="3"/>
  <c r="H38" i="3"/>
  <c r="H39" i="3"/>
  <c r="H41" i="3"/>
  <c r="H46" i="3"/>
  <c r="H47" i="3"/>
  <c r="H35" i="3"/>
  <c r="H42" i="3"/>
  <c r="H45" i="3"/>
  <c r="H36" i="3"/>
  <c r="V18" i="4"/>
  <c r="J76" i="3"/>
  <c r="V44" i="4" s="1"/>
  <c r="H10" i="3"/>
  <c r="I23" i="3" s="1"/>
  <c r="N38" i="3"/>
  <c r="T45" i="3"/>
  <c r="H37" i="3"/>
  <c r="T43" i="3"/>
  <c r="H7" i="4"/>
  <c r="N47" i="3"/>
  <c r="T42" i="3"/>
  <c r="Z36" i="3"/>
  <c r="N45" i="3"/>
  <c r="J80" i="3"/>
  <c r="V48" i="4" s="1"/>
  <c r="T35" i="3"/>
  <c r="AF33" i="3"/>
  <c r="T37" i="3"/>
  <c r="V19" i="4"/>
  <c r="T39" i="3"/>
  <c r="T46" i="3"/>
  <c r="N41" i="3"/>
  <c r="V21" i="4"/>
  <c r="N40" i="3"/>
  <c r="T40" i="3"/>
  <c r="AJ124" i="5"/>
  <c r="AO124" i="5"/>
  <c r="AO154" i="5"/>
  <c r="AO152" i="5"/>
  <c r="AO153" i="5"/>
  <c r="AO101" i="5"/>
  <c r="P97" i="5"/>
  <c r="O97" i="5" s="1"/>
  <c r="P25" i="5"/>
  <c r="O25" i="5" s="1"/>
  <c r="O21" i="5" s="1"/>
  <c r="P74" i="5"/>
  <c r="O74" i="5" s="1"/>
  <c r="O72" i="5" s="1"/>
  <c r="Q72" i="5" s="1"/>
  <c r="P28" i="5"/>
  <c r="O28" i="5" s="1"/>
  <c r="P94" i="5"/>
  <c r="O94" i="5" s="1"/>
  <c r="O90" i="5" s="1"/>
  <c r="P71" i="5"/>
  <c r="O71" i="5" s="1"/>
  <c r="O67" i="5" s="1"/>
  <c r="P120" i="5"/>
  <c r="O120" i="5" s="1"/>
  <c r="O118" i="5" s="1"/>
  <c r="O105" i="5"/>
  <c r="Q105" i="5" s="1"/>
  <c r="Q44" i="5"/>
  <c r="O49" i="5"/>
  <c r="Q49" i="5" s="1"/>
  <c r="O36" i="5"/>
  <c r="Q36" i="5" s="1"/>
  <c r="P103" i="5"/>
  <c r="O103" i="5" s="1"/>
  <c r="P34" i="5"/>
  <c r="O34" i="5" s="1"/>
  <c r="P31" i="5"/>
  <c r="O31" i="5" s="1"/>
  <c r="P100" i="5"/>
  <c r="O100" i="5" s="1"/>
  <c r="O82" i="5"/>
  <c r="Q82" i="5" s="1"/>
  <c r="P98" i="5"/>
  <c r="O98" i="5" s="1"/>
  <c r="P104" i="5"/>
  <c r="O104" i="5" s="1"/>
  <c r="P29" i="5"/>
  <c r="O29" i="5" s="1"/>
  <c r="BU37" i="9" l="1"/>
  <c r="BU35" i="9"/>
  <c r="BU38" i="9"/>
  <c r="BU33" i="9"/>
  <c r="BU32" i="9"/>
  <c r="BU29" i="9"/>
  <c r="BU36" i="9"/>
  <c r="BU40" i="9"/>
  <c r="BU34" i="9"/>
  <c r="BU31" i="9"/>
  <c r="BU30" i="9"/>
  <c r="BU39" i="9"/>
  <c r="AQ27" i="9"/>
  <c r="BA27" i="9"/>
  <c r="BK34" i="9"/>
  <c r="BK29" i="9"/>
  <c r="BK35" i="9"/>
  <c r="BK40" i="9"/>
  <c r="BK38" i="9"/>
  <c r="BK33" i="9"/>
  <c r="BK32" i="9"/>
  <c r="BK30" i="9"/>
  <c r="BK31" i="9"/>
  <c r="BK37" i="9"/>
  <c r="BK36" i="9"/>
  <c r="BK39" i="9"/>
  <c r="AG39" i="9"/>
  <c r="AG35" i="9"/>
  <c r="AG31" i="9"/>
  <c r="AG38" i="9"/>
  <c r="AG33" i="9"/>
  <c r="AG40" i="9"/>
  <c r="AG32" i="9"/>
  <c r="AG36" i="9"/>
  <c r="AG29" i="9"/>
  <c r="AG34" i="9"/>
  <c r="AG30" i="9"/>
  <c r="AG37" i="9"/>
  <c r="BF9" i="9" a="1"/>
  <c r="BE8" i="9"/>
  <c r="AP9" i="9" a="1"/>
  <c r="AO8" i="9"/>
  <c r="AX9" i="9" a="1"/>
  <c r="AW8" i="9"/>
  <c r="AG8" i="9"/>
  <c r="I17" i="3"/>
  <c r="S27" i="3"/>
  <c r="S22" i="3"/>
  <c r="S18" i="3"/>
  <c r="S13" i="3"/>
  <c r="S20" i="3"/>
  <c r="S17" i="3"/>
  <c r="S23" i="3"/>
  <c r="R8" i="3"/>
  <c r="S10" i="3" s="1"/>
  <c r="S24" i="3"/>
  <c r="S19" i="3"/>
  <c r="S21" i="3"/>
  <c r="S29" i="3"/>
  <c r="S26" i="3"/>
  <c r="S28" i="3"/>
  <c r="S16" i="3"/>
  <c r="S12" i="3"/>
  <c r="S33" i="3"/>
  <c r="S15" i="3"/>
  <c r="S14" i="3"/>
  <c r="S31" i="3"/>
  <c r="AG35" i="3"/>
  <c r="AF49" i="3"/>
  <c r="AF26" i="3" s="1"/>
  <c r="R23" i="4" s="1"/>
  <c r="AF52" i="3"/>
  <c r="AF29" i="3" s="1"/>
  <c r="AF54" i="3"/>
  <c r="AF31" i="3" s="1"/>
  <c r="AH82" i="3" s="1"/>
  <c r="AF53" i="3"/>
  <c r="AF30" i="3" s="1"/>
  <c r="AF51" i="3"/>
  <c r="AG39" i="3"/>
  <c r="AG44" i="3"/>
  <c r="AG47" i="3"/>
  <c r="AG40" i="3"/>
  <c r="AG38" i="3"/>
  <c r="AQ47" i="5"/>
  <c r="AP47" i="5" s="1"/>
  <c r="AQ24" i="5"/>
  <c r="AP24" i="5" s="1"/>
  <c r="AQ130" i="5"/>
  <c r="AP130" i="5" s="1"/>
  <c r="AQ107" i="5"/>
  <c r="AP107" i="5" s="1"/>
  <c r="AQ70" i="5"/>
  <c r="AP70" i="5" s="1"/>
  <c r="AQ63" i="5"/>
  <c r="AP63" i="5" s="1"/>
  <c r="AQ61" i="5"/>
  <c r="AP61" i="5" s="1"/>
  <c r="AQ93" i="5"/>
  <c r="AP93" i="5" s="1"/>
  <c r="AQ109" i="5"/>
  <c r="AP109" i="5" s="1"/>
  <c r="I21" i="3"/>
  <c r="J85" i="3"/>
  <c r="V54" i="4" s="1"/>
  <c r="I15" i="3"/>
  <c r="I18" i="3"/>
  <c r="J84" i="3"/>
  <c r="V53" i="4" s="1"/>
  <c r="I14" i="3"/>
  <c r="J83" i="3"/>
  <c r="V52" i="4" s="1"/>
  <c r="I20" i="3"/>
  <c r="I13" i="3"/>
  <c r="I19" i="3"/>
  <c r="I16" i="3"/>
  <c r="H9" i="4"/>
  <c r="H4" i="4"/>
  <c r="AG43" i="3"/>
  <c r="R26" i="4"/>
  <c r="AG46" i="3"/>
  <c r="AG36" i="3"/>
  <c r="AG41" i="3"/>
  <c r="AG45" i="3"/>
  <c r="V49" i="4"/>
  <c r="AG42" i="3"/>
  <c r="V17" i="4"/>
  <c r="T33" i="3"/>
  <c r="AG37" i="3"/>
  <c r="I24" i="3"/>
  <c r="I22" i="3"/>
  <c r="Z33" i="3"/>
  <c r="H33" i="3"/>
  <c r="I35" i="3" s="1"/>
  <c r="I12" i="3"/>
  <c r="N33" i="3"/>
  <c r="AR153" i="5"/>
  <c r="AM153" i="5"/>
  <c r="AR154" i="5"/>
  <c r="AM154" i="5"/>
  <c r="AR101" i="5"/>
  <c r="AP101" i="5" s="1"/>
  <c r="AM101" i="5"/>
  <c r="AM95" i="5" s="1"/>
  <c r="AR152" i="5"/>
  <c r="AM152" i="5"/>
  <c r="AR124" i="5"/>
  <c r="AP124" i="5" s="1"/>
  <c r="AM124" i="5"/>
  <c r="AM118" i="5" s="1"/>
  <c r="S70" i="3"/>
  <c r="S89" i="3"/>
  <c r="S59" i="3"/>
  <c r="S68" i="3"/>
  <c r="S92" i="3"/>
  <c r="S71" i="3"/>
  <c r="S60" i="3"/>
  <c r="R69" i="3"/>
  <c r="R72" i="3"/>
  <c r="O26" i="5"/>
  <c r="Q26" i="5" s="1"/>
  <c r="Q118" i="5"/>
  <c r="O112" i="5"/>
  <c r="Q112" i="5" s="1"/>
  <c r="S58" i="3"/>
  <c r="O66" i="5"/>
  <c r="Q66" i="5" s="1"/>
  <c r="Q67" i="5"/>
  <c r="Q21" i="5"/>
  <c r="O43" i="5"/>
  <c r="Q43" i="5" s="1"/>
  <c r="Q90" i="5"/>
  <c r="O95" i="5"/>
  <c r="Q95" i="5" s="1"/>
  <c r="BB33" i="9" l="1"/>
  <c r="BB29" i="9"/>
  <c r="BB31" i="9"/>
  <c r="BB28" i="9"/>
  <c r="BB32" i="9"/>
  <c r="BB40" i="9"/>
  <c r="BB39" i="9"/>
  <c r="BB34" i="9"/>
  <c r="BB38" i="9"/>
  <c r="BB37" i="9"/>
  <c r="BB35" i="9"/>
  <c r="BB30" i="9"/>
  <c r="BB36" i="9"/>
  <c r="BU27" i="9"/>
  <c r="AR29" i="9"/>
  <c r="AR38" i="9"/>
  <c r="AR30" i="9"/>
  <c r="AR31" i="9"/>
  <c r="AR39" i="9"/>
  <c r="AR33" i="9"/>
  <c r="AR37" i="9"/>
  <c r="AR34" i="9"/>
  <c r="AR35" i="9"/>
  <c r="AR28" i="9"/>
  <c r="AR40" i="9"/>
  <c r="AR36" i="9"/>
  <c r="AR32" i="9"/>
  <c r="BK27" i="9"/>
  <c r="AX20" i="9"/>
  <c r="AX16" i="9"/>
  <c r="AX17" i="9"/>
  <c r="AX12" i="9"/>
  <c r="AX19" i="9"/>
  <c r="AX14" i="9"/>
  <c r="AX10" i="9"/>
  <c r="AX13" i="9"/>
  <c r="AX21" i="9"/>
  <c r="AX11" i="9"/>
  <c r="AX18" i="9"/>
  <c r="AX9" i="9"/>
  <c r="AX15" i="9"/>
  <c r="BF18" i="9"/>
  <c r="BF14" i="9"/>
  <c r="BF10" i="9"/>
  <c r="X13" i="3" s="1"/>
  <c r="BF20" i="9"/>
  <c r="BF16" i="9"/>
  <c r="BF12" i="9"/>
  <c r="BF15" i="9"/>
  <c r="BF19" i="9"/>
  <c r="BF11" i="9"/>
  <c r="BF9" i="9"/>
  <c r="BF21" i="9"/>
  <c r="BF17" i="9"/>
  <c r="BF13" i="9"/>
  <c r="X16" i="3" s="1"/>
  <c r="AG27" i="9"/>
  <c r="AH19" i="9"/>
  <c r="AH10" i="9"/>
  <c r="AH14" i="9"/>
  <c r="AH20" i="9"/>
  <c r="AH18" i="9"/>
  <c r="AH16" i="9"/>
  <c r="AH15" i="9"/>
  <c r="AH17" i="9"/>
  <c r="AH21" i="9"/>
  <c r="AH9" i="9"/>
  <c r="AH11" i="9"/>
  <c r="AH13" i="9"/>
  <c r="AH12" i="9"/>
  <c r="AP20" i="9"/>
  <c r="AP16" i="9"/>
  <c r="AP12" i="9"/>
  <c r="AP18" i="9"/>
  <c r="AP14" i="9"/>
  <c r="AP10" i="9"/>
  <c r="AP21" i="9"/>
  <c r="AP13" i="9"/>
  <c r="AP19" i="9"/>
  <c r="AP11" i="9"/>
  <c r="AP17" i="9"/>
  <c r="AP9" i="9"/>
  <c r="AP15" i="9"/>
  <c r="I47" i="3"/>
  <c r="H3" i="4"/>
  <c r="I42" i="3"/>
  <c r="O40" i="3"/>
  <c r="N49" i="3"/>
  <c r="N26" i="3" s="1"/>
  <c r="F23" i="4" s="1"/>
  <c r="N54" i="3"/>
  <c r="N31" i="3" s="1"/>
  <c r="N52" i="3"/>
  <c r="N29" i="3" s="1"/>
  <c r="N53" i="3"/>
  <c r="N30" i="3" s="1"/>
  <c r="N51" i="3"/>
  <c r="AA36" i="3"/>
  <c r="Z49" i="3"/>
  <c r="Z26" i="3" s="1"/>
  <c r="N23" i="4" s="1"/>
  <c r="Z52" i="3"/>
  <c r="Z29" i="3" s="1"/>
  <c r="Z53" i="3"/>
  <c r="Z30" i="3" s="1"/>
  <c r="Z54" i="3"/>
  <c r="Z31" i="3" s="1"/>
  <c r="Z51" i="3"/>
  <c r="I37" i="3"/>
  <c r="H49" i="3"/>
  <c r="H26" i="3" s="1"/>
  <c r="H52" i="3"/>
  <c r="H29" i="3" s="1"/>
  <c r="I29" i="3" s="1"/>
  <c r="H53" i="3"/>
  <c r="H30" i="3" s="1"/>
  <c r="I30" i="3" s="1"/>
  <c r="H54" i="3"/>
  <c r="H31" i="3" s="1"/>
  <c r="H51" i="3"/>
  <c r="I38" i="3"/>
  <c r="U38" i="3"/>
  <c r="T49" i="3"/>
  <c r="T26" i="3" s="1"/>
  <c r="J23" i="4" s="1"/>
  <c r="T53" i="3"/>
  <c r="T30" i="3" s="1"/>
  <c r="T52" i="3"/>
  <c r="T29" i="3" s="1"/>
  <c r="T54" i="3"/>
  <c r="T31" i="3" s="1"/>
  <c r="T51" i="3"/>
  <c r="I46" i="3"/>
  <c r="O47" i="3"/>
  <c r="U37" i="3"/>
  <c r="U36" i="3"/>
  <c r="I40" i="3"/>
  <c r="I36" i="3"/>
  <c r="U39" i="3"/>
  <c r="H8" i="3"/>
  <c r="I10" i="3" s="1"/>
  <c r="I43" i="3"/>
  <c r="I45" i="3"/>
  <c r="U35" i="3"/>
  <c r="I41" i="3"/>
  <c r="U42" i="3"/>
  <c r="U45" i="3"/>
  <c r="I39" i="3"/>
  <c r="U43" i="3"/>
  <c r="V26" i="4"/>
  <c r="AQ50" i="5"/>
  <c r="AP50" i="5" s="1"/>
  <c r="AQ27" i="5"/>
  <c r="AP27" i="5" s="1"/>
  <c r="AQ96" i="5"/>
  <c r="AP96" i="5" s="1"/>
  <c r="X12" i="3" a="1"/>
  <c r="X14" i="3" s="1"/>
  <c r="O38" i="3"/>
  <c r="F26" i="4"/>
  <c r="O35" i="3"/>
  <c r="O39" i="3"/>
  <c r="O46" i="3"/>
  <c r="O37" i="3"/>
  <c r="O44" i="3"/>
  <c r="O43" i="3"/>
  <c r="O36" i="3"/>
  <c r="U40" i="3"/>
  <c r="J26" i="4"/>
  <c r="U47" i="3"/>
  <c r="U46" i="3"/>
  <c r="AA42" i="3"/>
  <c r="U44" i="3"/>
  <c r="O42" i="3"/>
  <c r="U41" i="3"/>
  <c r="O41" i="3"/>
  <c r="AQ97" i="5"/>
  <c r="AP97" i="5" s="1"/>
  <c r="AQ51" i="5"/>
  <c r="AP51" i="5" s="1"/>
  <c r="N26" i="4"/>
  <c r="AA44" i="3"/>
  <c r="AA45" i="3"/>
  <c r="AA41" i="3"/>
  <c r="AA40" i="3"/>
  <c r="AA46" i="3"/>
  <c r="AA47" i="3"/>
  <c r="AA35" i="3"/>
  <c r="AA43" i="3"/>
  <c r="AA38" i="3"/>
  <c r="AA39" i="3"/>
  <c r="AA37" i="3"/>
  <c r="AF50" i="3"/>
  <c r="R28" i="4" s="1"/>
  <c r="R27" i="4" s="1"/>
  <c r="AF28" i="3"/>
  <c r="AF27" i="3" s="1"/>
  <c r="AH81" i="3" s="1"/>
  <c r="V152" i="5"/>
  <c r="U152" i="5" s="1"/>
  <c r="V154" i="5"/>
  <c r="U154" i="5" s="1"/>
  <c r="V146" i="5"/>
  <c r="U146" i="5" s="1"/>
  <c r="V147" i="5"/>
  <c r="U147" i="5" s="1"/>
  <c r="H63" i="4"/>
  <c r="V148" i="5"/>
  <c r="U148" i="5" s="1"/>
  <c r="V153" i="5"/>
  <c r="U153" i="5" s="1"/>
  <c r="V122" i="5"/>
  <c r="U122" i="5" s="1"/>
  <c r="N12" i="3" a="1"/>
  <c r="O45" i="3"/>
  <c r="I44" i="3"/>
  <c r="AQ108" i="5"/>
  <c r="AP108" i="5" s="1"/>
  <c r="AP105" i="5" s="1"/>
  <c r="AQ159" i="5"/>
  <c r="AP159" i="5" s="1"/>
  <c r="AQ62" i="5"/>
  <c r="AP62" i="5" s="1"/>
  <c r="AP59" i="5" s="1"/>
  <c r="AQ158" i="5"/>
  <c r="AP158" i="5" s="1"/>
  <c r="AQ160" i="5"/>
  <c r="AP160" i="5" s="1"/>
  <c r="AQ129" i="5"/>
  <c r="AP129" i="5" s="1"/>
  <c r="AQ131" i="5"/>
  <c r="AP131" i="5" s="1"/>
  <c r="AQ119" i="5"/>
  <c r="AP119" i="5" s="1"/>
  <c r="AQ45" i="5"/>
  <c r="AP45" i="5" s="1"/>
  <c r="AQ91" i="5"/>
  <c r="AP91" i="5" s="1"/>
  <c r="R25" i="4"/>
  <c r="R51" i="4"/>
  <c r="AM151" i="5"/>
  <c r="AO151" i="5" s="1"/>
  <c r="AO118" i="5"/>
  <c r="AM112" i="5"/>
  <c r="AO112" i="5" s="1"/>
  <c r="AO95" i="5"/>
  <c r="AM89" i="5"/>
  <c r="S72" i="3"/>
  <c r="H42" i="4"/>
  <c r="H39" i="4" s="1"/>
  <c r="S69" i="3"/>
  <c r="H38" i="4"/>
  <c r="H36" i="4" s="1"/>
  <c r="O20" i="5"/>
  <c r="Q20" i="5" s="1"/>
  <c r="O89" i="5"/>
  <c r="Q89" i="5" s="1"/>
  <c r="R67" i="3"/>
  <c r="H35" i="4" s="1"/>
  <c r="V37" i="5"/>
  <c r="U37" i="5" s="1"/>
  <c r="V32" i="5"/>
  <c r="U32" i="5" s="1"/>
  <c r="N13" i="3" l="1"/>
  <c r="BL32" i="9"/>
  <c r="BL31" i="9"/>
  <c r="BL33" i="9"/>
  <c r="BL30" i="9"/>
  <c r="BL35" i="9"/>
  <c r="BL38" i="9"/>
  <c r="BL36" i="9"/>
  <c r="BL29" i="9"/>
  <c r="BL28" i="9"/>
  <c r="BL34" i="9"/>
  <c r="BL40" i="9"/>
  <c r="BL39" i="9"/>
  <c r="BL37" i="9"/>
  <c r="AS29" i="9" a="1"/>
  <c r="AR27" i="9"/>
  <c r="BC29" i="9" a="1"/>
  <c r="BB27" i="9"/>
  <c r="BV40" i="9"/>
  <c r="BV39" i="9"/>
  <c r="BV30" i="9"/>
  <c r="BV31" i="9"/>
  <c r="BV32" i="9"/>
  <c r="BV36" i="9"/>
  <c r="BV37" i="9"/>
  <c r="BV35" i="9"/>
  <c r="BV34" i="9"/>
  <c r="BV28" i="9"/>
  <c r="BV33" i="9"/>
  <c r="BV38" i="9"/>
  <c r="BV29" i="9"/>
  <c r="AY9" i="9" a="1"/>
  <c r="AP8" i="9"/>
  <c r="BG9" i="9" a="1"/>
  <c r="AX8" i="9"/>
  <c r="AH33" i="9"/>
  <c r="AH35" i="9"/>
  <c r="AH38" i="9"/>
  <c r="AH40" i="9"/>
  <c r="AH34" i="9"/>
  <c r="AH28" i="9"/>
  <c r="AH36" i="9"/>
  <c r="AH39" i="9"/>
  <c r="AH30" i="9"/>
  <c r="AH37" i="9"/>
  <c r="AH32" i="9"/>
  <c r="AH31" i="9"/>
  <c r="AH29" i="9"/>
  <c r="BO9" i="9" a="1"/>
  <c r="BF8" i="9"/>
  <c r="AQ9" i="9" a="1"/>
  <c r="AH8" i="9"/>
  <c r="AI10" i="9" a="1"/>
  <c r="N17" i="3"/>
  <c r="N24" i="3"/>
  <c r="X23" i="3"/>
  <c r="X18" i="3"/>
  <c r="N20" i="3"/>
  <c r="I33" i="3"/>
  <c r="N25" i="4"/>
  <c r="AB82" i="3"/>
  <c r="N51" i="4" s="1"/>
  <c r="F25" i="4"/>
  <c r="P82" i="3"/>
  <c r="F51" i="4" s="1"/>
  <c r="J25" i="4"/>
  <c r="V82" i="3"/>
  <c r="J51" i="4" s="1"/>
  <c r="V16" i="4"/>
  <c r="AQ71" i="5" s="1"/>
  <c r="AP71" i="5" s="1"/>
  <c r="AP67" i="5" s="1"/>
  <c r="R24" i="4"/>
  <c r="R50" i="4"/>
  <c r="AP128" i="5"/>
  <c r="AP157" i="5"/>
  <c r="N19" i="3"/>
  <c r="X19" i="3"/>
  <c r="T50" i="3"/>
  <c r="J28" i="4" s="1"/>
  <c r="J27" i="4" s="1"/>
  <c r="T28" i="3"/>
  <c r="T27" i="3" s="1"/>
  <c r="X12" i="3"/>
  <c r="I26" i="3"/>
  <c r="V23" i="4"/>
  <c r="X20" i="3"/>
  <c r="N12" i="3"/>
  <c r="U145" i="5"/>
  <c r="Z50" i="3"/>
  <c r="N28" i="4" s="1"/>
  <c r="N27" i="4" s="1"/>
  <c r="Z28" i="3"/>
  <c r="Z27" i="3" s="1"/>
  <c r="N15" i="3"/>
  <c r="X15" i="3"/>
  <c r="X21" i="3"/>
  <c r="V25" i="4"/>
  <c r="J82" i="3"/>
  <c r="V51" i="4" s="1"/>
  <c r="I31" i="3"/>
  <c r="X24" i="3"/>
  <c r="N14" i="3"/>
  <c r="H28" i="3"/>
  <c r="H50" i="3"/>
  <c r="V28" i="4" s="1"/>
  <c r="V27" i="4" s="1"/>
  <c r="N21" i="3"/>
  <c r="N16" i="3"/>
  <c r="X22" i="3"/>
  <c r="N28" i="3"/>
  <c r="N27" i="3" s="1"/>
  <c r="N50" i="3"/>
  <c r="F28" i="4" s="1"/>
  <c r="F27" i="4" s="1"/>
  <c r="X17" i="3"/>
  <c r="N23" i="3"/>
  <c r="U151" i="5"/>
  <c r="N22" i="3"/>
  <c r="N18" i="3"/>
  <c r="V57" i="5"/>
  <c r="U57" i="5" s="1"/>
  <c r="V58" i="5"/>
  <c r="U58" i="5" s="1"/>
  <c r="AO89" i="5"/>
  <c r="AM19" i="5"/>
  <c r="AO12" i="5" s="1"/>
  <c r="J75" i="3" a="1"/>
  <c r="O19" i="5"/>
  <c r="S67" i="3"/>
  <c r="Y63" i="3" l="1"/>
  <c r="Y61" i="3"/>
  <c r="Y62" i="3"/>
  <c r="BC38" i="9"/>
  <c r="BC33" i="9"/>
  <c r="BC32" i="9"/>
  <c r="BC29" i="9"/>
  <c r="BC35" i="9"/>
  <c r="BC40" i="9"/>
  <c r="BC39" i="9"/>
  <c r="BC37" i="9"/>
  <c r="BC36" i="9"/>
  <c r="BC31" i="9"/>
  <c r="BC34" i="9"/>
  <c r="BC30" i="9"/>
  <c r="BW29" i="9" a="1"/>
  <c r="BV27" i="9"/>
  <c r="AS36" i="9"/>
  <c r="AS31" i="9"/>
  <c r="AS29" i="9"/>
  <c r="AS32" i="9"/>
  <c r="AS34" i="9"/>
  <c r="AS37" i="9"/>
  <c r="AS39" i="9"/>
  <c r="AS38" i="9"/>
  <c r="AS33" i="9"/>
  <c r="AS40" i="9"/>
  <c r="AS35" i="9"/>
  <c r="AS30" i="9"/>
  <c r="BM29" i="9" a="1"/>
  <c r="BL27" i="9"/>
  <c r="D6" i="10"/>
  <c r="Q12" i="5"/>
  <c r="I6" i="10" s="1"/>
  <c r="Q7" i="5"/>
  <c r="Q13" i="5"/>
  <c r="J6" i="10" s="1"/>
  <c r="AO7" i="5"/>
  <c r="AO13" i="5"/>
  <c r="AQ18" i="9"/>
  <c r="AQ14" i="9"/>
  <c r="AQ10" i="9"/>
  <c r="AQ20" i="9"/>
  <c r="AQ16" i="9"/>
  <c r="AQ12" i="9"/>
  <c r="AQ15" i="9"/>
  <c r="AQ21" i="9"/>
  <c r="AQ19" i="9"/>
  <c r="AQ11" i="9"/>
  <c r="AQ17" i="9"/>
  <c r="AQ9" i="9"/>
  <c r="AQ13" i="9"/>
  <c r="AI18" i="9"/>
  <c r="AI14" i="9"/>
  <c r="AI10" i="9"/>
  <c r="AI20" i="9"/>
  <c r="AI16" i="9"/>
  <c r="AI12" i="9"/>
  <c r="AI19" i="9"/>
  <c r="AI11" i="9"/>
  <c r="AI15" i="9"/>
  <c r="AI21" i="9"/>
  <c r="AI17" i="9"/>
  <c r="AI13" i="9"/>
  <c r="BO20" i="9"/>
  <c r="BO16" i="9"/>
  <c r="BO12" i="9"/>
  <c r="BO18" i="9"/>
  <c r="BO14" i="9"/>
  <c r="BO10" i="9"/>
  <c r="BO17" i="9"/>
  <c r="BO9" i="9"/>
  <c r="BO21" i="9"/>
  <c r="BO13" i="9"/>
  <c r="BO11" i="9"/>
  <c r="BO19" i="9"/>
  <c r="BO15" i="9"/>
  <c r="AI29" i="9" a="1"/>
  <c r="AH27" i="9"/>
  <c r="BG20" i="9"/>
  <c r="BG16" i="9"/>
  <c r="BG12" i="9"/>
  <c r="BG18" i="9"/>
  <c r="BG14" i="9"/>
  <c r="BG10" i="9"/>
  <c r="BG17" i="9"/>
  <c r="BG9" i="9"/>
  <c r="BG21" i="9"/>
  <c r="BG13" i="9"/>
  <c r="BG11" i="9"/>
  <c r="BG19" i="9"/>
  <c r="BG15" i="9"/>
  <c r="AY20" i="9"/>
  <c r="AY16" i="9"/>
  <c r="AY12" i="9"/>
  <c r="AY18" i="9"/>
  <c r="AY14" i="9"/>
  <c r="AY10" i="9"/>
  <c r="AY17" i="9"/>
  <c r="AY9" i="9"/>
  <c r="AY21" i="9"/>
  <c r="AY13" i="9"/>
  <c r="AY11" i="9"/>
  <c r="AY19" i="9"/>
  <c r="AY15" i="9"/>
  <c r="AQ125" i="5"/>
  <c r="AP125" i="5" s="1"/>
  <c r="P78" i="3"/>
  <c r="F46" i="4" s="1"/>
  <c r="P80" i="3"/>
  <c r="F48" i="4" s="1"/>
  <c r="AQ94" i="5"/>
  <c r="AP94" i="5" s="1"/>
  <c r="AQ48" i="5"/>
  <c r="AP48" i="5" s="1"/>
  <c r="AQ56" i="5"/>
  <c r="AP56" i="5" s="1"/>
  <c r="AP49" i="5" s="1"/>
  <c r="AQ126" i="5"/>
  <c r="AP126" i="5" s="1"/>
  <c r="AQ77" i="5"/>
  <c r="AP77" i="5" s="1"/>
  <c r="AQ127" i="5"/>
  <c r="AP127" i="5" s="1"/>
  <c r="AQ102" i="5"/>
  <c r="AP102" i="5" s="1"/>
  <c r="AP95" i="5" s="1"/>
  <c r="P76" i="3"/>
  <c r="F44" i="4" s="1"/>
  <c r="P79" i="3"/>
  <c r="F47" i="4" s="1"/>
  <c r="P77" i="3"/>
  <c r="F45" i="4" s="1"/>
  <c r="N24" i="4"/>
  <c r="AB81" i="3"/>
  <c r="N50" i="4" s="1"/>
  <c r="J24" i="4"/>
  <c r="V81" i="3"/>
  <c r="J50" i="4" s="1"/>
  <c r="F24" i="4"/>
  <c r="P81" i="3"/>
  <c r="F50" i="4" s="1"/>
  <c r="H27" i="3"/>
  <c r="I28" i="3"/>
  <c r="L7" i="4"/>
  <c r="F20" i="4"/>
  <c r="L6" i="4"/>
  <c r="F19" i="4"/>
  <c r="X10" i="3"/>
  <c r="Y21" i="3" s="1"/>
  <c r="L5" i="4"/>
  <c r="F21" i="4"/>
  <c r="L8" i="4"/>
  <c r="F18" i="4"/>
  <c r="N10" i="3"/>
  <c r="O19" i="3" s="1"/>
  <c r="AO19" i="5"/>
  <c r="Q19" i="5"/>
  <c r="BM36" i="9" l="1"/>
  <c r="BM31" i="9"/>
  <c r="BM37" i="9"/>
  <c r="BM39" i="9"/>
  <c r="BM34" i="9"/>
  <c r="BM33" i="9"/>
  <c r="BM40" i="9"/>
  <c r="BM35" i="9"/>
  <c r="BM30" i="9"/>
  <c r="BM32" i="9"/>
  <c r="BM38" i="9"/>
  <c r="BM29" i="9"/>
  <c r="BC27" i="9"/>
  <c r="AS27" i="9"/>
  <c r="BW39" i="9"/>
  <c r="BW33" i="9"/>
  <c r="BW29" i="9"/>
  <c r="BW40" i="9"/>
  <c r="BW35" i="9"/>
  <c r="BW38" i="9"/>
  <c r="BW32" i="9"/>
  <c r="BW34" i="9"/>
  <c r="BW37" i="9"/>
  <c r="BW36" i="9"/>
  <c r="BW31" i="9"/>
  <c r="BW30" i="9"/>
  <c r="AO8" i="5"/>
  <c r="AO9" i="5" s="1"/>
  <c r="AO11" i="5" s="1"/>
  <c r="N8" i="5"/>
  <c r="N9" i="5" s="1"/>
  <c r="N11" i="5" s="1"/>
  <c r="Q8" i="5"/>
  <c r="Q9" i="5" s="1"/>
  <c r="BH9" i="9" a="1"/>
  <c r="BG8" i="9"/>
  <c r="AI8" i="9"/>
  <c r="AR9" i="9" a="1"/>
  <c r="AQ8" i="9"/>
  <c r="AI37" i="9"/>
  <c r="AI33" i="9"/>
  <c r="AI29" i="9"/>
  <c r="AI40" i="9"/>
  <c r="AI35" i="9"/>
  <c r="AI30" i="9"/>
  <c r="AI39" i="9"/>
  <c r="AI32" i="9"/>
  <c r="AI36" i="9"/>
  <c r="AI34" i="9"/>
  <c r="AI31" i="9"/>
  <c r="AI38" i="9"/>
  <c r="AZ9" i="9" a="1"/>
  <c r="AY8" i="9"/>
  <c r="BP9" i="9" a="1"/>
  <c r="BO8" i="9"/>
  <c r="O12" i="3"/>
  <c r="O21" i="3"/>
  <c r="F22" i="4"/>
  <c r="O23" i="3"/>
  <c r="F49" i="4"/>
  <c r="P83" i="3"/>
  <c r="F52" i="4" s="1"/>
  <c r="P84" i="3"/>
  <c r="F53" i="4" s="1"/>
  <c r="P85" i="3"/>
  <c r="F54" i="4" s="1"/>
  <c r="F17" i="4"/>
  <c r="S62" i="5" s="1"/>
  <c r="R62" i="5" s="1"/>
  <c r="J35" i="3" a="1"/>
  <c r="Y17" i="3"/>
  <c r="Y19" i="3"/>
  <c r="Y24" i="3"/>
  <c r="Y33" i="3"/>
  <c r="Y30" i="3"/>
  <c r="Y13" i="3"/>
  <c r="Y28" i="3"/>
  <c r="Y26" i="3"/>
  <c r="Y14" i="3"/>
  <c r="Y23" i="3"/>
  <c r="Y31" i="3"/>
  <c r="Y12" i="3"/>
  <c r="Y29" i="3"/>
  <c r="X8" i="3"/>
  <c r="L3" i="4" s="1"/>
  <c r="Y18" i="3"/>
  <c r="Y22" i="3"/>
  <c r="Y16" i="3"/>
  <c r="Y15" i="3"/>
  <c r="Y27" i="3"/>
  <c r="Y20" i="3"/>
  <c r="S63" i="5"/>
  <c r="R63" i="5" s="1"/>
  <c r="S109" i="5"/>
  <c r="R109" i="5" s="1"/>
  <c r="S61" i="5"/>
  <c r="R61" i="5" s="1"/>
  <c r="O18" i="3"/>
  <c r="O15" i="3"/>
  <c r="O17" i="3"/>
  <c r="N8" i="3"/>
  <c r="O14" i="3"/>
  <c r="O30" i="3"/>
  <c r="O13" i="3"/>
  <c r="O29" i="3"/>
  <c r="O20" i="3"/>
  <c r="O16" i="3"/>
  <c r="O31" i="3"/>
  <c r="O24" i="3"/>
  <c r="O26" i="3"/>
  <c r="O27" i="3"/>
  <c r="O22" i="3"/>
  <c r="O28" i="3"/>
  <c r="L4" i="4"/>
  <c r="L9" i="4"/>
  <c r="V24" i="4"/>
  <c r="J81" i="3"/>
  <c r="I27" i="3"/>
  <c r="Y68" i="3"/>
  <c r="Y71" i="3"/>
  <c r="Y70" i="3"/>
  <c r="Y89" i="3"/>
  <c r="Y92" i="3"/>
  <c r="Y59" i="3"/>
  <c r="Y60" i="3"/>
  <c r="X69" i="3"/>
  <c r="X72" i="3"/>
  <c r="Y58" i="3"/>
  <c r="BM27" i="9" l="1"/>
  <c r="AT33" i="9"/>
  <c r="AT29" i="9"/>
  <c r="AT32" i="9"/>
  <c r="AT35" i="9"/>
  <c r="AT30" i="9"/>
  <c r="AT38" i="9"/>
  <c r="AT31" i="9"/>
  <c r="AT37" i="9"/>
  <c r="AT28" i="9"/>
  <c r="AT34" i="9"/>
  <c r="AT36" i="9"/>
  <c r="AT40" i="9"/>
  <c r="AT39" i="9"/>
  <c r="BW27" i="9"/>
  <c r="BD36" i="9"/>
  <c r="BD33" i="9"/>
  <c r="BD31" i="9"/>
  <c r="BD32" i="9"/>
  <c r="BD38" i="9"/>
  <c r="BD40" i="9"/>
  <c r="BD29" i="9"/>
  <c r="BD35" i="9"/>
  <c r="BD34" i="9"/>
  <c r="BD30" i="9"/>
  <c r="BD28" i="9"/>
  <c r="BD37" i="9"/>
  <c r="BD39" i="9"/>
  <c r="Q11" i="5"/>
  <c r="G6" i="10" s="1"/>
  <c r="E6" i="10"/>
  <c r="BP18" i="9"/>
  <c r="BP14" i="9"/>
  <c r="BP10" i="9"/>
  <c r="BP20" i="9"/>
  <c r="BP16" i="9"/>
  <c r="BP12" i="9"/>
  <c r="BP19" i="9"/>
  <c r="BP11" i="9"/>
  <c r="BP15" i="9"/>
  <c r="BP13" i="9"/>
  <c r="BP9" i="9"/>
  <c r="BP21" i="9"/>
  <c r="BP17" i="9"/>
  <c r="AI27" i="9"/>
  <c r="AR20" i="9"/>
  <c r="AR16" i="9"/>
  <c r="AR12" i="9"/>
  <c r="AR18" i="9"/>
  <c r="AR14" i="9"/>
  <c r="AR10" i="9"/>
  <c r="AR17" i="9"/>
  <c r="AR9" i="9"/>
  <c r="AR15" i="9"/>
  <c r="AR21" i="9"/>
  <c r="AR13" i="9"/>
  <c r="AR19" i="9"/>
  <c r="AR11" i="9"/>
  <c r="AJ21" i="9"/>
  <c r="AJ11" i="9"/>
  <c r="AJ9" i="9"/>
  <c r="AJ20" i="9"/>
  <c r="AJ17" i="9"/>
  <c r="J20" i="3" s="1"/>
  <c r="AJ14" i="9"/>
  <c r="AJ16" i="9"/>
  <c r="AJ13" i="9"/>
  <c r="AJ10" i="9"/>
  <c r="J13" i="3" s="1"/>
  <c r="AJ12" i="9"/>
  <c r="AJ18" i="9"/>
  <c r="AJ19" i="9"/>
  <c r="AJ15" i="9"/>
  <c r="AZ18" i="9"/>
  <c r="T21" i="3" s="1"/>
  <c r="AZ14" i="9"/>
  <c r="T17" i="3" s="1"/>
  <c r="AZ10" i="9"/>
  <c r="AZ20" i="9"/>
  <c r="AZ16" i="9"/>
  <c r="AZ12" i="9"/>
  <c r="AZ19" i="9"/>
  <c r="T22" i="3" s="1"/>
  <c r="AZ11" i="9"/>
  <c r="T14" i="3" s="1"/>
  <c r="AZ15" i="9"/>
  <c r="AZ13" i="9"/>
  <c r="AZ9" i="9"/>
  <c r="AZ21" i="9"/>
  <c r="AZ17" i="9"/>
  <c r="BH18" i="9"/>
  <c r="BH14" i="9"/>
  <c r="BH10" i="9"/>
  <c r="BH20" i="9"/>
  <c r="BH16" i="9"/>
  <c r="BH12" i="9"/>
  <c r="BH19" i="9"/>
  <c r="BH11" i="9"/>
  <c r="BH15" i="9"/>
  <c r="BH13" i="9"/>
  <c r="BH9" i="9"/>
  <c r="BH21" i="9"/>
  <c r="BH17" i="9"/>
  <c r="R59" i="5"/>
  <c r="S160" i="5"/>
  <c r="R160" i="5" s="1"/>
  <c r="Y10" i="3"/>
  <c r="S129" i="5"/>
  <c r="R129" i="5" s="1"/>
  <c r="AD12" i="3" a="1"/>
  <c r="J12" i="3" a="1"/>
  <c r="T12" i="3" a="1"/>
  <c r="AQ23" i="5"/>
  <c r="AP23" i="5" s="1"/>
  <c r="AP21" i="5" s="1"/>
  <c r="V22" i="4"/>
  <c r="AQ114" i="5" s="1"/>
  <c r="AP114" i="5" s="1"/>
  <c r="AB147" i="5"/>
  <c r="AA147" i="5" s="1"/>
  <c r="AB122" i="5"/>
  <c r="AA122" i="5" s="1"/>
  <c r="AB153" i="5"/>
  <c r="AA153" i="5" s="1"/>
  <c r="AB146" i="5"/>
  <c r="AA146" i="5" s="1"/>
  <c r="AB152" i="5"/>
  <c r="AA152" i="5" s="1"/>
  <c r="AB154" i="5"/>
  <c r="AA154" i="5" s="1"/>
  <c r="L63" i="4"/>
  <c r="AB148" i="5"/>
  <c r="AA148" i="5" s="1"/>
  <c r="AH35" i="3" a="1"/>
  <c r="T19" i="3"/>
  <c r="V50" i="4"/>
  <c r="J75" i="3"/>
  <c r="V43" i="4" s="1"/>
  <c r="O33" i="3"/>
  <c r="F16" i="4"/>
  <c r="O10" i="3"/>
  <c r="Y69" i="3"/>
  <c r="L38" i="4"/>
  <c r="L36" i="4" s="1"/>
  <c r="Y72" i="3"/>
  <c r="L42" i="4"/>
  <c r="L39" i="4" s="1"/>
  <c r="AB37" i="5"/>
  <c r="AA37" i="5" s="1"/>
  <c r="AB32" i="5"/>
  <c r="AA32" i="5" s="1"/>
  <c r="X67" i="3"/>
  <c r="L35" i="4" s="1"/>
  <c r="T12" i="3" l="1"/>
  <c r="V76" i="3" s="1"/>
  <c r="J44" i="4" s="1"/>
  <c r="BX32" i="9"/>
  <c r="AH39" i="3" s="1"/>
  <c r="BX34" i="9"/>
  <c r="AH41" i="3" s="1"/>
  <c r="BX29" i="9"/>
  <c r="AH36" i="3" s="1"/>
  <c r="BX36" i="9"/>
  <c r="AH43" i="3" s="1"/>
  <c r="BX31" i="9"/>
  <c r="AH38" i="3" s="1"/>
  <c r="BX33" i="9"/>
  <c r="AH40" i="3" s="1"/>
  <c r="BX38" i="9"/>
  <c r="AH45" i="3" s="1"/>
  <c r="BX39" i="9"/>
  <c r="AH46" i="3" s="1"/>
  <c r="BX30" i="9"/>
  <c r="AH37" i="3" s="1"/>
  <c r="BX28" i="9"/>
  <c r="AH35" i="3" s="1"/>
  <c r="BX40" i="9"/>
  <c r="AH47" i="3" s="1"/>
  <c r="BX35" i="9"/>
  <c r="AH42" i="3" s="1"/>
  <c r="BX37" i="9"/>
  <c r="AH44" i="3" s="1"/>
  <c r="J15" i="3"/>
  <c r="BD27" i="9"/>
  <c r="AT27" i="9"/>
  <c r="AD20" i="3"/>
  <c r="BN39" i="9"/>
  <c r="AB46" i="3" s="1"/>
  <c r="BN37" i="9"/>
  <c r="AB44" i="3" s="1"/>
  <c r="BN32" i="9"/>
  <c r="BN30" i="9"/>
  <c r="BN33" i="9"/>
  <c r="BN38" i="9"/>
  <c r="AB45" i="3" s="1"/>
  <c r="BN31" i="9"/>
  <c r="AB38" i="3" s="1"/>
  <c r="BN34" i="9"/>
  <c r="AB41" i="3" s="1"/>
  <c r="BN28" i="9"/>
  <c r="BN36" i="9"/>
  <c r="BN40" i="9"/>
  <c r="BN29" i="9"/>
  <c r="BN35" i="9"/>
  <c r="AB42" i="3" s="1"/>
  <c r="F6" i="10"/>
  <c r="H6" i="10"/>
  <c r="BI9" i="9" a="1"/>
  <c r="AZ8" i="9"/>
  <c r="BP8" i="9"/>
  <c r="BQ9" i="9" a="1"/>
  <c r="BH8" i="9"/>
  <c r="AJ8" i="9"/>
  <c r="AS9" i="9" a="1"/>
  <c r="BA9" i="9" a="1"/>
  <c r="AR8" i="9"/>
  <c r="AJ32" i="9"/>
  <c r="J39" i="3" s="1"/>
  <c r="AJ34" i="9"/>
  <c r="J41" i="3" s="1"/>
  <c r="AJ30" i="9"/>
  <c r="J37" i="3" s="1"/>
  <c r="AJ39" i="9"/>
  <c r="J46" i="3" s="1"/>
  <c r="AJ33" i="9"/>
  <c r="J40" i="3" s="1"/>
  <c r="AJ37" i="9"/>
  <c r="J44" i="3" s="1"/>
  <c r="AJ40" i="9"/>
  <c r="J47" i="3" s="1"/>
  <c r="AJ35" i="9"/>
  <c r="J42" i="3" s="1"/>
  <c r="AJ29" i="9"/>
  <c r="J36" i="3" s="1"/>
  <c r="AJ28" i="9"/>
  <c r="AJ36" i="9"/>
  <c r="J43" i="3" s="1"/>
  <c r="AJ31" i="9"/>
  <c r="J38" i="3" s="1"/>
  <c r="AJ38" i="9"/>
  <c r="J45" i="3" s="1"/>
  <c r="J21" i="3"/>
  <c r="J18" i="3"/>
  <c r="J24" i="3"/>
  <c r="T18" i="3"/>
  <c r="J12" i="3"/>
  <c r="J14" i="3"/>
  <c r="J16" i="3"/>
  <c r="T23" i="3"/>
  <c r="T15" i="3"/>
  <c r="J17" i="3"/>
  <c r="J22" i="3"/>
  <c r="J23" i="3"/>
  <c r="J19" i="3"/>
  <c r="T24" i="3"/>
  <c r="AD24" i="3"/>
  <c r="AD19" i="3"/>
  <c r="T13" i="3"/>
  <c r="V77" i="3" s="1"/>
  <c r="J45" i="4" s="1"/>
  <c r="AD15" i="3"/>
  <c r="T20" i="3"/>
  <c r="V79" i="3" s="1"/>
  <c r="J47" i="4" s="1"/>
  <c r="AD16" i="3"/>
  <c r="AD23" i="3"/>
  <c r="AD14" i="3"/>
  <c r="AD17" i="3"/>
  <c r="AQ46" i="5"/>
  <c r="AP46" i="5" s="1"/>
  <c r="AP44" i="5" s="1"/>
  <c r="AP43" i="5" s="1"/>
  <c r="AQ92" i="5"/>
  <c r="AP92" i="5" s="1"/>
  <c r="AP90" i="5" s="1"/>
  <c r="AP89" i="5" s="1"/>
  <c r="V35" i="3" a="1"/>
  <c r="V46" i="3" s="1"/>
  <c r="AA145" i="5"/>
  <c r="V37" i="3"/>
  <c r="T16" i="3"/>
  <c r="AD21" i="3"/>
  <c r="AD18" i="3"/>
  <c r="V41" i="3"/>
  <c r="P35" i="3" a="1"/>
  <c r="P42" i="3" s="1"/>
  <c r="AB35" i="3" a="1"/>
  <c r="AD13" i="3"/>
  <c r="AD22" i="3"/>
  <c r="AD12" i="3"/>
  <c r="S127" i="5"/>
  <c r="R127" i="5" s="1"/>
  <c r="S56" i="5"/>
  <c r="R56" i="5" s="1"/>
  <c r="AQ120" i="5"/>
  <c r="AP120" i="5" s="1"/>
  <c r="AQ28" i="5"/>
  <c r="AP28" i="5" s="1"/>
  <c r="AA151" i="5"/>
  <c r="AB57" i="5"/>
  <c r="AA57" i="5" s="1"/>
  <c r="AB58" i="5"/>
  <c r="AA58" i="5" s="1"/>
  <c r="Y67" i="3"/>
  <c r="AE61" i="3" l="1"/>
  <c r="AE62" i="3"/>
  <c r="AE63" i="3"/>
  <c r="V5" i="4"/>
  <c r="V7" i="4"/>
  <c r="AB43" i="3"/>
  <c r="V6" i="4"/>
  <c r="V80" i="3"/>
  <c r="J48" i="4" s="1"/>
  <c r="J18" i="4"/>
  <c r="BN27" i="9"/>
  <c r="BX27" i="9"/>
  <c r="P6" i="4"/>
  <c r="BA20" i="9"/>
  <c r="BA16" i="9"/>
  <c r="BA12" i="9"/>
  <c r="BA18" i="9"/>
  <c r="BA14" i="9"/>
  <c r="BA10" i="9"/>
  <c r="BA21" i="9"/>
  <c r="BA13" i="9"/>
  <c r="BA17" i="9"/>
  <c r="BA9" i="9"/>
  <c r="BA15" i="9"/>
  <c r="BA11" i="9"/>
  <c r="BA19" i="9"/>
  <c r="BQ20" i="9"/>
  <c r="BQ16" i="9"/>
  <c r="BQ12" i="9"/>
  <c r="BQ18" i="9"/>
  <c r="BQ14" i="9"/>
  <c r="BQ10" i="9"/>
  <c r="BQ21" i="9"/>
  <c r="BQ13" i="9"/>
  <c r="BQ17" i="9"/>
  <c r="BQ9" i="9"/>
  <c r="BQ15" i="9"/>
  <c r="BQ11" i="9"/>
  <c r="BQ19" i="9"/>
  <c r="V8" i="4"/>
  <c r="AQ38" i="5" s="1"/>
  <c r="AP38" i="5" s="1"/>
  <c r="AP36" i="5" s="1"/>
  <c r="J20" i="4"/>
  <c r="AJ27" i="9"/>
  <c r="J35" i="3"/>
  <c r="J33" i="3" s="1"/>
  <c r="K40" i="3" s="1"/>
  <c r="AS18" i="9"/>
  <c r="AS14" i="9"/>
  <c r="AS10" i="9"/>
  <c r="AS20" i="9"/>
  <c r="AS16" i="9"/>
  <c r="AS12" i="9"/>
  <c r="AS19" i="9"/>
  <c r="AS11" i="9"/>
  <c r="AS17" i="9"/>
  <c r="AS9" i="9"/>
  <c r="AS15" i="9"/>
  <c r="AS21" i="9"/>
  <c r="AS13" i="9"/>
  <c r="J21" i="4"/>
  <c r="Y61" i="5" s="1"/>
  <c r="X61" i="5" s="1"/>
  <c r="BI20" i="9"/>
  <c r="BI16" i="9"/>
  <c r="BI12" i="9"/>
  <c r="BI18" i="9"/>
  <c r="BI14" i="9"/>
  <c r="BI10" i="9"/>
  <c r="BI21" i="9"/>
  <c r="BI13" i="9"/>
  <c r="BI17" i="9"/>
  <c r="BI9" i="9"/>
  <c r="BI15" i="9"/>
  <c r="BI11" i="9"/>
  <c r="BI19" i="9"/>
  <c r="V45" i="3"/>
  <c r="V36" i="3"/>
  <c r="V42" i="3"/>
  <c r="P35" i="3"/>
  <c r="P38" i="3"/>
  <c r="V35" i="3"/>
  <c r="J10" i="3"/>
  <c r="K21" i="3" s="1"/>
  <c r="P36" i="3"/>
  <c r="P44" i="3"/>
  <c r="AB36" i="3"/>
  <c r="AB40" i="3"/>
  <c r="V40" i="3"/>
  <c r="P39" i="3"/>
  <c r="V39" i="3"/>
  <c r="P43" i="3"/>
  <c r="V43" i="3"/>
  <c r="V38" i="3"/>
  <c r="V47" i="3"/>
  <c r="AB37" i="3"/>
  <c r="V44" i="3"/>
  <c r="AB47" i="3"/>
  <c r="J19" i="4"/>
  <c r="V78" i="3"/>
  <c r="J46" i="4" s="1"/>
  <c r="T10" i="3"/>
  <c r="P40" i="3"/>
  <c r="P41" i="3"/>
  <c r="AB39" i="3"/>
  <c r="P45" i="3"/>
  <c r="P46" i="3"/>
  <c r="P7" i="4"/>
  <c r="AH33" i="3"/>
  <c r="P47" i="3"/>
  <c r="P37" i="3"/>
  <c r="AB35" i="3"/>
  <c r="P8" i="4"/>
  <c r="AD10" i="3"/>
  <c r="AE22" i="3" s="1"/>
  <c r="P5" i="4"/>
  <c r="V4" i="4" l="1"/>
  <c r="AQ154" i="5" s="1"/>
  <c r="AP154" i="5" s="1"/>
  <c r="J49" i="4"/>
  <c r="AQ116" i="5"/>
  <c r="AP116" i="5" s="1"/>
  <c r="K41" i="3"/>
  <c r="K39" i="3"/>
  <c r="K35" i="3"/>
  <c r="J53" i="3"/>
  <c r="J30" i="3" s="1"/>
  <c r="K30" i="3" s="1"/>
  <c r="Y63" i="5"/>
  <c r="X63" i="5" s="1"/>
  <c r="X59" i="5" s="1"/>
  <c r="V33" i="3"/>
  <c r="V52" i="3" s="1"/>
  <c r="V29" i="3" s="1"/>
  <c r="J17" i="4"/>
  <c r="Y62" i="5" s="1"/>
  <c r="X62" i="5" s="1"/>
  <c r="Y109" i="5"/>
  <c r="X109" i="5" s="1"/>
  <c r="BJ9" i="9" a="1"/>
  <c r="BI8" i="9"/>
  <c r="BB9" i="9" a="1"/>
  <c r="BA8" i="9"/>
  <c r="K36" i="3"/>
  <c r="K89" i="3"/>
  <c r="J52" i="3"/>
  <c r="J29" i="3" s="1"/>
  <c r="K29" i="3" s="1"/>
  <c r="K47" i="3"/>
  <c r="J51" i="3"/>
  <c r="J28" i="3" s="1"/>
  <c r="K28" i="3" s="1"/>
  <c r="J49" i="3"/>
  <c r="J26" i="3" s="1"/>
  <c r="K26" i="3" s="1"/>
  <c r="K38" i="3"/>
  <c r="K37" i="3"/>
  <c r="AT9" i="9" a="1"/>
  <c r="AS8" i="9"/>
  <c r="J54" i="3"/>
  <c r="J31" i="3" s="1"/>
  <c r="V12" i="4" s="1"/>
  <c r="K44" i="3"/>
  <c r="K46" i="3"/>
  <c r="K43" i="3"/>
  <c r="K45" i="3"/>
  <c r="BR9" i="9" a="1"/>
  <c r="BQ8" i="9"/>
  <c r="V13" i="4"/>
  <c r="V64" i="4" s="1"/>
  <c r="K42" i="3"/>
  <c r="K23" i="3"/>
  <c r="K68" i="3"/>
  <c r="J8" i="3"/>
  <c r="K70" i="3"/>
  <c r="K75" i="3"/>
  <c r="K14" i="3"/>
  <c r="K88" i="3"/>
  <c r="K72" i="3"/>
  <c r="K67" i="3"/>
  <c r="K19" i="3"/>
  <c r="K15" i="3"/>
  <c r="K90" i="3"/>
  <c r="K91" i="3"/>
  <c r="K60" i="3"/>
  <c r="K18" i="3"/>
  <c r="K13" i="3"/>
  <c r="K92" i="3"/>
  <c r="K71" i="3"/>
  <c r="K69" i="3"/>
  <c r="K58" i="3"/>
  <c r="K20" i="3"/>
  <c r="K24" i="3"/>
  <c r="K59" i="3"/>
  <c r="K12" i="3"/>
  <c r="K16" i="3"/>
  <c r="K94" i="3"/>
  <c r="K93" i="3"/>
  <c r="K17" i="3"/>
  <c r="K22" i="3"/>
  <c r="J22" i="4"/>
  <c r="V85" i="3"/>
  <c r="J54" i="4" s="1"/>
  <c r="V84" i="3"/>
  <c r="J53" i="4" s="1"/>
  <c r="V83" i="3"/>
  <c r="J52" i="4" s="1"/>
  <c r="AH49" i="3"/>
  <c r="AH26" i="3" s="1"/>
  <c r="R10" i="4" s="1"/>
  <c r="AH54" i="3"/>
  <c r="AH31" i="3" s="1"/>
  <c r="R12" i="4" s="1"/>
  <c r="AH53" i="3"/>
  <c r="AH30" i="3" s="1"/>
  <c r="AH52" i="3"/>
  <c r="AH29" i="3" s="1"/>
  <c r="AH51" i="3"/>
  <c r="P33" i="3"/>
  <c r="Q47" i="3" s="1"/>
  <c r="AE12" i="3"/>
  <c r="AE29" i="3"/>
  <c r="AE14" i="3"/>
  <c r="AE20" i="3"/>
  <c r="AE28" i="3"/>
  <c r="AE30" i="3"/>
  <c r="AE21" i="3"/>
  <c r="AE27" i="3"/>
  <c r="AD8" i="3"/>
  <c r="AE17" i="3"/>
  <c r="AE16" i="3"/>
  <c r="AE33" i="3"/>
  <c r="AE18" i="3"/>
  <c r="AE26" i="3"/>
  <c r="AE19" i="3"/>
  <c r="AE31" i="3"/>
  <c r="AE24" i="3"/>
  <c r="AE15" i="3"/>
  <c r="AB33" i="3"/>
  <c r="U13" i="3"/>
  <c r="U21" i="3"/>
  <c r="U26" i="3"/>
  <c r="U24" i="3"/>
  <c r="U31" i="3"/>
  <c r="U18" i="3"/>
  <c r="U17" i="3"/>
  <c r="T8" i="3"/>
  <c r="U23" i="3"/>
  <c r="U30" i="3"/>
  <c r="U22" i="3"/>
  <c r="U29" i="3"/>
  <c r="U19" i="3"/>
  <c r="U28" i="3"/>
  <c r="U20" i="3"/>
  <c r="U12" i="3"/>
  <c r="U15" i="3"/>
  <c r="U14" i="3"/>
  <c r="U27" i="3"/>
  <c r="R13" i="4"/>
  <c r="R64" i="4" s="1"/>
  <c r="AE23" i="3"/>
  <c r="P4" i="4"/>
  <c r="P9" i="4"/>
  <c r="U16" i="3"/>
  <c r="AE13" i="3"/>
  <c r="AE89" i="3"/>
  <c r="AE70" i="3"/>
  <c r="AE59" i="3"/>
  <c r="AE68" i="3"/>
  <c r="AE92" i="3"/>
  <c r="AE71" i="3"/>
  <c r="AE60" i="3"/>
  <c r="AD72" i="3"/>
  <c r="AD69" i="3"/>
  <c r="AE58" i="3"/>
  <c r="AK92" i="5"/>
  <c r="AJ92" i="5" s="1"/>
  <c r="V63" i="4" l="1"/>
  <c r="AQ163" i="5" s="1"/>
  <c r="AR163" i="5" s="1"/>
  <c r="AQ122" i="5"/>
  <c r="AP122" i="5" s="1"/>
  <c r="AQ147" i="5"/>
  <c r="AP147" i="5" s="1"/>
  <c r="AQ146" i="5"/>
  <c r="AP146" i="5" s="1"/>
  <c r="AQ148" i="5"/>
  <c r="AP148" i="5" s="1"/>
  <c r="Y129" i="5"/>
  <c r="X129" i="5" s="1"/>
  <c r="J13" i="4"/>
  <c r="J64" i="4" s="1"/>
  <c r="Y136" i="5" s="1"/>
  <c r="AQ152" i="5"/>
  <c r="AP152" i="5" s="1"/>
  <c r="AQ153" i="5"/>
  <c r="AP153" i="5" s="1"/>
  <c r="J27" i="3"/>
  <c r="K27" i="3" s="1"/>
  <c r="V53" i="3"/>
  <c r="V30" i="3" s="1"/>
  <c r="V49" i="3"/>
  <c r="V26" i="3" s="1"/>
  <c r="J10" i="4" s="1"/>
  <c r="V54" i="3"/>
  <c r="V31" i="3" s="1"/>
  <c r="J12" i="4" s="1"/>
  <c r="J50" i="3"/>
  <c r="V15" i="4" s="1"/>
  <c r="AQ138" i="5" s="1"/>
  <c r="AP138" i="5" s="1"/>
  <c r="AQ82" i="5"/>
  <c r="AR82" i="5" s="1"/>
  <c r="AQ95" i="5"/>
  <c r="AR95" i="5" s="1"/>
  <c r="AQ19" i="5"/>
  <c r="AR5" i="5" s="1"/>
  <c r="AQ36" i="5"/>
  <c r="AR36" i="5" s="1"/>
  <c r="AQ90" i="5"/>
  <c r="AR90" i="5" s="1"/>
  <c r="AQ21" i="5"/>
  <c r="AR21" i="5" s="1"/>
  <c r="AQ59" i="5"/>
  <c r="AR59" i="5" s="1"/>
  <c r="AQ105" i="5"/>
  <c r="AR105" i="5" s="1"/>
  <c r="AQ151" i="5"/>
  <c r="AQ113" i="5"/>
  <c r="AQ89" i="5"/>
  <c r="AR89" i="5" s="1"/>
  <c r="AQ157" i="5"/>
  <c r="AR157" i="5" s="1"/>
  <c r="AQ112" i="5"/>
  <c r="AQ118" i="5"/>
  <c r="AQ44" i="5"/>
  <c r="AR44" i="5" s="1"/>
  <c r="AQ145" i="5"/>
  <c r="AQ67" i="5"/>
  <c r="AR67" i="5" s="1"/>
  <c r="AQ128" i="5"/>
  <c r="AR128" i="5" s="1"/>
  <c r="AQ66" i="5"/>
  <c r="K31" i="3"/>
  <c r="AQ26" i="5"/>
  <c r="AQ43" i="5"/>
  <c r="AR43" i="5" s="1"/>
  <c r="Y160" i="5"/>
  <c r="X160" i="5" s="1"/>
  <c r="V51" i="3"/>
  <c r="V28" i="3" s="1"/>
  <c r="AQ20" i="5"/>
  <c r="AQ49" i="5"/>
  <c r="AR49" i="5" s="1"/>
  <c r="AQ72" i="5"/>
  <c r="V10" i="4"/>
  <c r="BR18" i="9"/>
  <c r="BR14" i="9"/>
  <c r="BR10" i="9"/>
  <c r="BR20" i="9"/>
  <c r="BR16" i="9"/>
  <c r="BR12" i="9"/>
  <c r="BR15" i="9"/>
  <c r="BR19" i="9"/>
  <c r="BR11" i="9"/>
  <c r="BR17" i="9"/>
  <c r="BR13" i="9"/>
  <c r="BR9" i="9"/>
  <c r="BR21" i="9"/>
  <c r="BB18" i="9"/>
  <c r="BB14" i="9"/>
  <c r="BB10" i="9"/>
  <c r="BB20" i="9"/>
  <c r="BB16" i="9"/>
  <c r="BB12" i="9"/>
  <c r="BB15" i="9"/>
  <c r="BB19" i="9"/>
  <c r="BB11" i="9"/>
  <c r="BB17" i="9"/>
  <c r="BB13" i="9"/>
  <c r="BB9" i="9"/>
  <c r="BB21" i="9"/>
  <c r="AQ135" i="5"/>
  <c r="AR4" i="5" s="1"/>
  <c r="AQ136" i="5"/>
  <c r="AT20" i="9"/>
  <c r="AT16" i="9"/>
  <c r="AT12" i="9"/>
  <c r="AT18" i="9"/>
  <c r="AT14" i="9"/>
  <c r="AT10" i="9"/>
  <c r="AT21" i="9"/>
  <c r="AT13" i="9"/>
  <c r="AT19" i="9"/>
  <c r="AT11" i="9"/>
  <c r="AT17" i="9"/>
  <c r="AT9" i="9"/>
  <c r="AT15" i="9"/>
  <c r="P18" i="3" s="1"/>
  <c r="BJ18" i="9"/>
  <c r="BJ14" i="9"/>
  <c r="Z17" i="3" s="1"/>
  <c r="BJ10" i="9"/>
  <c r="BJ20" i="9"/>
  <c r="Z23" i="3" s="1"/>
  <c r="BJ16" i="9"/>
  <c r="Z19" i="3" s="1"/>
  <c r="BJ12" i="9"/>
  <c r="BJ15" i="9"/>
  <c r="BJ19" i="9"/>
  <c r="BJ11" i="9"/>
  <c r="Z14" i="3" s="1"/>
  <c r="BJ17" i="9"/>
  <c r="Z20" i="3" s="1"/>
  <c r="BJ13" i="9"/>
  <c r="BJ9" i="9"/>
  <c r="Z12" i="3" s="1"/>
  <c r="AB76" i="3" s="1"/>
  <c r="BJ21" i="9"/>
  <c r="K10" i="3"/>
  <c r="K33" i="3"/>
  <c r="V3" i="4"/>
  <c r="Q35" i="3"/>
  <c r="P49" i="3"/>
  <c r="P26" i="3" s="1"/>
  <c r="F10" i="4" s="1"/>
  <c r="P52" i="3"/>
  <c r="P29" i="3" s="1"/>
  <c r="P54" i="3"/>
  <c r="P31" i="3" s="1"/>
  <c r="F12" i="4" s="1"/>
  <c r="P53" i="3"/>
  <c r="P30" i="3" s="1"/>
  <c r="P51" i="3"/>
  <c r="P28" i="3" s="1"/>
  <c r="Q46" i="3"/>
  <c r="F13" i="4"/>
  <c r="F64" i="4" s="1"/>
  <c r="Q43" i="3"/>
  <c r="Q45" i="3"/>
  <c r="Q36" i="3"/>
  <c r="Q39" i="3"/>
  <c r="Q40" i="3"/>
  <c r="Q44" i="3"/>
  <c r="AB49" i="3"/>
  <c r="AB26" i="3" s="1"/>
  <c r="N10" i="4" s="1"/>
  <c r="AB54" i="3"/>
  <c r="AB31" i="3" s="1"/>
  <c r="N12" i="4" s="1"/>
  <c r="AB53" i="3"/>
  <c r="AB30" i="3" s="1"/>
  <c r="AB52" i="3"/>
  <c r="AB29" i="3" s="1"/>
  <c r="AB51" i="3"/>
  <c r="Q42" i="3"/>
  <c r="Q37" i="3"/>
  <c r="Q38" i="3"/>
  <c r="Q41" i="3"/>
  <c r="P12" i="3" a="1"/>
  <c r="AH50" i="3"/>
  <c r="R15" i="4" s="1"/>
  <c r="R14" i="4" s="1"/>
  <c r="AK137" i="5" s="1"/>
  <c r="AJ137" i="5" s="1"/>
  <c r="AH28" i="3"/>
  <c r="AH27" i="3" s="1"/>
  <c r="R11" i="4" s="1"/>
  <c r="AK115" i="5" s="1"/>
  <c r="AJ115" i="5" s="1"/>
  <c r="V75" i="3"/>
  <c r="J43" i="4" s="1"/>
  <c r="AH146" i="5"/>
  <c r="AG146" i="5" s="1"/>
  <c r="AH122" i="5"/>
  <c r="AG122" i="5" s="1"/>
  <c r="AH154" i="5"/>
  <c r="AG154" i="5" s="1"/>
  <c r="AH153" i="5"/>
  <c r="AG153" i="5" s="1"/>
  <c r="P63" i="4"/>
  <c r="AH147" i="5"/>
  <c r="AG147" i="5" s="1"/>
  <c r="AH152" i="5"/>
  <c r="AG152" i="5" s="1"/>
  <c r="AH148" i="5"/>
  <c r="AG148" i="5" s="1"/>
  <c r="AE10" i="3"/>
  <c r="P3" i="4"/>
  <c r="U33" i="3"/>
  <c r="J16" i="4"/>
  <c r="U10" i="3"/>
  <c r="N13" i="4"/>
  <c r="N64" i="4" s="1"/>
  <c r="Z12" i="3" a="1"/>
  <c r="AE69" i="3"/>
  <c r="P38" i="4"/>
  <c r="P36" i="4" s="1"/>
  <c r="AE72" i="3"/>
  <c r="P42" i="4"/>
  <c r="P39" i="4" s="1"/>
  <c r="AB136" i="5"/>
  <c r="AB135" i="5"/>
  <c r="AC4" i="5" s="1"/>
  <c r="AB115" i="5"/>
  <c r="AA115" i="5" s="1"/>
  <c r="AB138" i="5"/>
  <c r="AA138" i="5" s="1"/>
  <c r="Y92" i="5"/>
  <c r="X92" i="5" s="1"/>
  <c r="AB92" i="5"/>
  <c r="AA92" i="5" s="1"/>
  <c r="AD67" i="3"/>
  <c r="P35" i="4" s="1"/>
  <c r="AK135" i="5"/>
  <c r="AL4" i="5" s="1"/>
  <c r="AK136" i="5"/>
  <c r="AH37" i="5"/>
  <c r="AG37" i="5" s="1"/>
  <c r="AH32" i="5"/>
  <c r="AG32" i="5" s="1"/>
  <c r="V27" i="3" l="1"/>
  <c r="J11" i="4" s="1"/>
  <c r="Y115" i="5" s="1"/>
  <c r="X115" i="5" s="1"/>
  <c r="Y135" i="5"/>
  <c r="Z4" i="5" s="1"/>
  <c r="AP145" i="5"/>
  <c r="AR145" i="5" s="1"/>
  <c r="AP151" i="5"/>
  <c r="AR151" i="5" s="1"/>
  <c r="V14" i="4"/>
  <c r="AQ137" i="5" s="1"/>
  <c r="AP137" i="5" s="1"/>
  <c r="AP136" i="5" s="1"/>
  <c r="AP135" i="5" s="1"/>
  <c r="AR135" i="5" s="1"/>
  <c r="AR6" i="5"/>
  <c r="V11" i="4"/>
  <c r="V9" i="4" s="1"/>
  <c r="V50" i="3"/>
  <c r="J15" i="4" s="1"/>
  <c r="J14" i="4" s="1"/>
  <c r="Y137" i="5" s="1"/>
  <c r="X137" i="5" s="1"/>
  <c r="Z21" i="3"/>
  <c r="AB79" i="3" s="1"/>
  <c r="N47" i="4" s="1"/>
  <c r="P15" i="3"/>
  <c r="BR8" i="9"/>
  <c r="BS9" i="9" a="1"/>
  <c r="BJ8" i="9"/>
  <c r="BC9" i="9" a="1"/>
  <c r="AT8" i="9"/>
  <c r="BK9" i="9" a="1"/>
  <c r="BB8" i="9"/>
  <c r="Z13" i="3"/>
  <c r="P24" i="3"/>
  <c r="P23" i="3"/>
  <c r="Z24" i="3"/>
  <c r="AQ79" i="5"/>
  <c r="AP79" i="5" s="1"/>
  <c r="AP72" i="5" s="1"/>
  <c r="AQ123" i="5"/>
  <c r="AP123" i="5" s="1"/>
  <c r="AQ117" i="5"/>
  <c r="AP117" i="5" s="1"/>
  <c r="AQ121" i="5"/>
  <c r="AP121" i="5" s="1"/>
  <c r="AQ33" i="5"/>
  <c r="AP33" i="5" s="1"/>
  <c r="AP26" i="5" s="1"/>
  <c r="P27" i="3"/>
  <c r="F11" i="4" s="1"/>
  <c r="S115" i="5" s="1"/>
  <c r="R115" i="5" s="1"/>
  <c r="P50" i="3"/>
  <c r="F15" i="4" s="1"/>
  <c r="F14" i="4" s="1"/>
  <c r="AG145" i="5"/>
  <c r="AG151" i="5"/>
  <c r="AK138" i="5"/>
  <c r="AJ138" i="5" s="1"/>
  <c r="AJ136" i="5" s="1"/>
  <c r="AL136" i="5" s="1"/>
  <c r="P14" i="3"/>
  <c r="P22" i="3"/>
  <c r="P19" i="3"/>
  <c r="P16" i="3"/>
  <c r="P17" i="3"/>
  <c r="P20" i="3"/>
  <c r="Z15" i="3"/>
  <c r="AB50" i="3"/>
  <c r="N15" i="4" s="1"/>
  <c r="N14" i="4" s="1"/>
  <c r="AE137" i="5" s="1"/>
  <c r="AD137" i="5" s="1"/>
  <c r="AB28" i="3"/>
  <c r="AB27" i="3" s="1"/>
  <c r="N11" i="4" s="1"/>
  <c r="AE115" i="5" s="1"/>
  <c r="AD115" i="5" s="1"/>
  <c r="P13" i="3"/>
  <c r="P12" i="3"/>
  <c r="Y56" i="5"/>
  <c r="X56" i="5" s="1"/>
  <c r="Y127" i="5"/>
  <c r="X127" i="5" s="1"/>
  <c r="N18" i="4"/>
  <c r="P21" i="3"/>
  <c r="Q63" i="3" s="1"/>
  <c r="Z18" i="3"/>
  <c r="Z16" i="3"/>
  <c r="Z22" i="3"/>
  <c r="AH57" i="5"/>
  <c r="AG57" i="5" s="1"/>
  <c r="AH58" i="5"/>
  <c r="AG58" i="5" s="1"/>
  <c r="N44" i="4"/>
  <c r="V136" i="5"/>
  <c r="V135" i="5"/>
  <c r="W4" i="5" s="1"/>
  <c r="V138" i="5"/>
  <c r="U138" i="5" s="1"/>
  <c r="V115" i="5"/>
  <c r="U115" i="5" s="1"/>
  <c r="AB137" i="5"/>
  <c r="AA137" i="5" s="1"/>
  <c r="AA136" i="5" s="1"/>
  <c r="AH135" i="5"/>
  <c r="AI4" i="5" s="1"/>
  <c r="AH136" i="5"/>
  <c r="S92" i="5"/>
  <c r="R92" i="5" s="1"/>
  <c r="V92" i="5"/>
  <c r="U92" i="5" s="1"/>
  <c r="AH137" i="5"/>
  <c r="AG137" i="5" s="1"/>
  <c r="AH138" i="5"/>
  <c r="AG138" i="5" s="1"/>
  <c r="AH115" i="5"/>
  <c r="AG115" i="5" s="1"/>
  <c r="AE92" i="5"/>
  <c r="AD92" i="5" s="1"/>
  <c r="AH92" i="5"/>
  <c r="AG92" i="5" s="1"/>
  <c r="AB23" i="5"/>
  <c r="AA23" i="5" s="1"/>
  <c r="AE136" i="5"/>
  <c r="AE135" i="5"/>
  <c r="AF4" i="5" s="1"/>
  <c r="V158" i="5"/>
  <c r="U158" i="5" s="1"/>
  <c r="S135" i="5"/>
  <c r="T4" i="5" s="1"/>
  <c r="S136" i="5"/>
  <c r="AE67" i="3"/>
  <c r="Q62" i="3" l="1"/>
  <c r="Q61" i="3"/>
  <c r="AR136" i="5"/>
  <c r="AQ115" i="5"/>
  <c r="AP115" i="5" s="1"/>
  <c r="AP113" i="5" s="1"/>
  <c r="AR113" i="5" s="1"/>
  <c r="Y138" i="5"/>
  <c r="X138" i="5" s="1"/>
  <c r="X136" i="5" s="1"/>
  <c r="X135" i="5" s="1"/>
  <c r="AR14" i="5"/>
  <c r="AR10" i="5"/>
  <c r="AB77" i="3"/>
  <c r="N45" i="4" s="1"/>
  <c r="BK20" i="9"/>
  <c r="BK16" i="9"/>
  <c r="BK12" i="9"/>
  <c r="BK18" i="9"/>
  <c r="BK14" i="9"/>
  <c r="BK10" i="9"/>
  <c r="BK17" i="9"/>
  <c r="BK9" i="9"/>
  <c r="BK21" i="9"/>
  <c r="BK13" i="9"/>
  <c r="BK19" i="9"/>
  <c r="BK15" i="9"/>
  <c r="BK11" i="9"/>
  <c r="BS20" i="9"/>
  <c r="BS16" i="9"/>
  <c r="BS12" i="9"/>
  <c r="BS18" i="9"/>
  <c r="BS14" i="9"/>
  <c r="BS10" i="9"/>
  <c r="BS17" i="9"/>
  <c r="BS9" i="9"/>
  <c r="BS21" i="9"/>
  <c r="BS13" i="9"/>
  <c r="BS19" i="9"/>
  <c r="BS15" i="9"/>
  <c r="BS11" i="9"/>
  <c r="BC20" i="9"/>
  <c r="BC16" i="9"/>
  <c r="BC12" i="9"/>
  <c r="BC18" i="9"/>
  <c r="BC14" i="9"/>
  <c r="BC10" i="9"/>
  <c r="BC17" i="9"/>
  <c r="BC9" i="9"/>
  <c r="BC21" i="9"/>
  <c r="BC13" i="9"/>
  <c r="BC19" i="9"/>
  <c r="BC15" i="9"/>
  <c r="BC11" i="9"/>
  <c r="AP20" i="5"/>
  <c r="AR20" i="5" s="1"/>
  <c r="AR26" i="5"/>
  <c r="AP66" i="5"/>
  <c r="AR66" i="5" s="1"/>
  <c r="AR72" i="5"/>
  <c r="AP118" i="5"/>
  <c r="AR118" i="5" s="1"/>
  <c r="S138" i="5"/>
  <c r="R138" i="5" s="1"/>
  <c r="F6" i="4"/>
  <c r="AB80" i="3"/>
  <c r="N48" i="4" s="1"/>
  <c r="AB78" i="3"/>
  <c r="N46" i="4" s="1"/>
  <c r="AE138" i="5"/>
  <c r="AD138" i="5" s="1"/>
  <c r="AD136" i="5" s="1"/>
  <c r="AD135" i="5" s="1"/>
  <c r="AJ135" i="5"/>
  <c r="N20" i="4"/>
  <c r="F8" i="4"/>
  <c r="S38" i="5" s="1"/>
  <c r="R38" i="5" s="1"/>
  <c r="N19" i="4"/>
  <c r="Z10" i="3"/>
  <c r="N21" i="4"/>
  <c r="P10" i="3"/>
  <c r="F5" i="4"/>
  <c r="F7" i="4"/>
  <c r="AG136" i="5"/>
  <c r="AG135" i="5" s="1"/>
  <c r="AA135" i="5"/>
  <c r="AC136" i="5"/>
  <c r="V70" i="5"/>
  <c r="U70" i="5" s="1"/>
  <c r="V93" i="5"/>
  <c r="U93" i="5" s="1"/>
  <c r="V38" i="5"/>
  <c r="U38" i="5" s="1"/>
  <c r="V24" i="5"/>
  <c r="U24" i="5" s="1"/>
  <c r="V116" i="5"/>
  <c r="U116" i="5" s="1"/>
  <c r="V47" i="5"/>
  <c r="U47" i="5" s="1"/>
  <c r="S137" i="5"/>
  <c r="R137" i="5" s="1"/>
  <c r="V137" i="5"/>
  <c r="U137" i="5" s="1"/>
  <c r="U136" i="5" s="1"/>
  <c r="AB46" i="5"/>
  <c r="AA46" i="5" s="1"/>
  <c r="S47" i="5"/>
  <c r="R47" i="5" s="1"/>
  <c r="AH23" i="5"/>
  <c r="AG23" i="5" s="1"/>
  <c r="S93" i="5"/>
  <c r="R93" i="5" s="1"/>
  <c r="S70" i="5"/>
  <c r="R70" i="5" s="1"/>
  <c r="S24" i="5"/>
  <c r="R24" i="5" s="1"/>
  <c r="S158" i="5"/>
  <c r="R158" i="5" s="1"/>
  <c r="Y46" i="5"/>
  <c r="X46" i="5" s="1"/>
  <c r="Y23" i="5"/>
  <c r="X23" i="5" s="1"/>
  <c r="V27" i="5"/>
  <c r="U27" i="5" s="1"/>
  <c r="P75" i="3" a="1"/>
  <c r="AK23" i="5"/>
  <c r="AJ23" i="5" s="1"/>
  <c r="AK46" i="5"/>
  <c r="AJ46" i="5" s="1"/>
  <c r="Q20" i="3" l="1"/>
  <c r="P91" i="3"/>
  <c r="P93" i="3"/>
  <c r="Q93" i="3" s="1"/>
  <c r="R93" i="3" s="1"/>
  <c r="P94" i="3"/>
  <c r="R136" i="5"/>
  <c r="R135" i="5" s="1"/>
  <c r="T14" i="5" s="1"/>
  <c r="K7" i="10" s="1"/>
  <c r="Z136" i="5"/>
  <c r="AF14" i="5"/>
  <c r="K11" i="10" s="1"/>
  <c r="AF10" i="5"/>
  <c r="Z14" i="5"/>
  <c r="K9" i="10" s="1"/>
  <c r="Z10" i="5"/>
  <c r="AI14" i="5"/>
  <c r="K12" i="10" s="1"/>
  <c r="AI10" i="5"/>
  <c r="AC14" i="5"/>
  <c r="K10" i="10" s="1"/>
  <c r="AC10" i="5"/>
  <c r="AL14" i="5"/>
  <c r="K13" i="10" s="1"/>
  <c r="AL10" i="5"/>
  <c r="BL9" i="9" a="1"/>
  <c r="BK8" i="9"/>
  <c r="BD9" i="9" a="1"/>
  <c r="BC8" i="9"/>
  <c r="BT9" i="9" a="1"/>
  <c r="BS8" i="9"/>
  <c r="AP112" i="5"/>
  <c r="S116" i="5"/>
  <c r="R116" i="5" s="1"/>
  <c r="Q89" i="3"/>
  <c r="N49" i="4"/>
  <c r="Z135" i="5"/>
  <c r="Q59" i="3"/>
  <c r="Q58" i="3"/>
  <c r="F61" i="4"/>
  <c r="S81" i="5" s="1"/>
  <c r="R81" i="5" s="1"/>
  <c r="Q60" i="3"/>
  <c r="Q90" i="3"/>
  <c r="R90" i="3" s="1"/>
  <c r="P72" i="3"/>
  <c r="F42" i="4" s="1"/>
  <c r="F39" i="4" s="1"/>
  <c r="AA15" i="3"/>
  <c r="AB83" i="3"/>
  <c r="N52" i="4" s="1"/>
  <c r="AB84" i="3"/>
  <c r="N53" i="4" s="1"/>
  <c r="AB85" i="3"/>
  <c r="N54" i="4" s="1"/>
  <c r="AF136" i="5"/>
  <c r="AL135" i="5"/>
  <c r="Q70" i="3"/>
  <c r="AA22" i="3"/>
  <c r="Q71" i="3"/>
  <c r="F9" i="4"/>
  <c r="F4" i="4"/>
  <c r="N22" i="4"/>
  <c r="Q16" i="3"/>
  <c r="Q29" i="3"/>
  <c r="Q22" i="3"/>
  <c r="Q26" i="3"/>
  <c r="Q13" i="3"/>
  <c r="Q21" i="3"/>
  <c r="Q31" i="3"/>
  <c r="Q30" i="3"/>
  <c r="Q18" i="3"/>
  <c r="Q24" i="3"/>
  <c r="Q27" i="3"/>
  <c r="Q19" i="3"/>
  <c r="Q17" i="3"/>
  <c r="Q14" i="3"/>
  <c r="P8" i="3"/>
  <c r="Q15" i="3"/>
  <c r="Q23" i="3"/>
  <c r="Q28" i="3"/>
  <c r="Q91" i="3"/>
  <c r="R91" i="3" s="1"/>
  <c r="P69" i="3"/>
  <c r="Q69" i="3" s="1"/>
  <c r="AE61" i="5"/>
  <c r="AD61" i="5" s="1"/>
  <c r="AE63" i="5"/>
  <c r="AD63" i="5" s="1"/>
  <c r="AE109" i="5"/>
  <c r="AD109" i="5" s="1"/>
  <c r="AA21" i="3"/>
  <c r="AA31" i="3"/>
  <c r="AA29" i="3"/>
  <c r="AA18" i="3"/>
  <c r="AA19" i="3"/>
  <c r="AA30" i="3"/>
  <c r="AA13" i="3"/>
  <c r="AA20" i="3"/>
  <c r="AA26" i="3"/>
  <c r="AA23" i="3"/>
  <c r="AA12" i="3"/>
  <c r="AA27" i="3"/>
  <c r="AA17" i="3"/>
  <c r="Z8" i="3"/>
  <c r="AA24" i="3"/>
  <c r="AA28" i="3"/>
  <c r="AA14" i="3"/>
  <c r="Q68" i="3"/>
  <c r="Q92" i="3"/>
  <c r="Q12" i="3"/>
  <c r="AA16" i="3"/>
  <c r="N17" i="4"/>
  <c r="AC135" i="5"/>
  <c r="AI135" i="5"/>
  <c r="AI136" i="5"/>
  <c r="U135" i="5"/>
  <c r="W136" i="5"/>
  <c r="V23" i="5"/>
  <c r="U23" i="5" s="1"/>
  <c r="V159" i="5"/>
  <c r="U159" i="5" s="1"/>
  <c r="U157" i="5" s="1"/>
  <c r="V117" i="5"/>
  <c r="U117" i="5" s="1"/>
  <c r="V131" i="5"/>
  <c r="U131" i="5" s="1"/>
  <c r="V119" i="5"/>
  <c r="U119" i="5" s="1"/>
  <c r="V130" i="5"/>
  <c r="U130" i="5" s="1"/>
  <c r="V96" i="5"/>
  <c r="U96" i="5" s="1"/>
  <c r="V91" i="5"/>
  <c r="U91" i="5" s="1"/>
  <c r="V45" i="5"/>
  <c r="U45" i="5" s="1"/>
  <c r="AH46" i="5"/>
  <c r="AG46" i="5" s="1"/>
  <c r="V46" i="5"/>
  <c r="U46" i="5" s="1"/>
  <c r="P75" i="3"/>
  <c r="F43" i="4" s="1"/>
  <c r="S46" i="5"/>
  <c r="R46" i="5" s="1"/>
  <c r="S23" i="5"/>
  <c r="R23" i="5" s="1"/>
  <c r="S91" i="5"/>
  <c r="R91" i="5" s="1"/>
  <c r="S45" i="5"/>
  <c r="R45" i="5" s="1"/>
  <c r="S131" i="5"/>
  <c r="R131" i="5" s="1"/>
  <c r="S159" i="5"/>
  <c r="R159" i="5" s="1"/>
  <c r="R157" i="5" s="1"/>
  <c r="S96" i="5"/>
  <c r="R96" i="5" s="1"/>
  <c r="S27" i="5"/>
  <c r="R27" i="5" s="1"/>
  <c r="S119" i="5"/>
  <c r="R119" i="5" s="1"/>
  <c r="S130" i="5"/>
  <c r="R130" i="5" s="1"/>
  <c r="S51" i="5"/>
  <c r="R51" i="5" s="1"/>
  <c r="AE23" i="5"/>
  <c r="AD23" i="5" s="1"/>
  <c r="AE46" i="5"/>
  <c r="AD46" i="5" s="1"/>
  <c r="AF135" i="5"/>
  <c r="T136" i="5" l="1"/>
  <c r="T10" i="5"/>
  <c r="T135" i="5"/>
  <c r="W14" i="5"/>
  <c r="K8" i="10" s="1"/>
  <c r="K15" i="10" s="1" a="1"/>
  <c r="K15" i="10" s="1"/>
  <c r="K22" i="10" s="1"/>
  <c r="W10" i="5"/>
  <c r="BD18" i="9"/>
  <c r="BD14" i="9"/>
  <c r="BD10" i="9"/>
  <c r="BD20" i="9"/>
  <c r="BD16" i="9"/>
  <c r="BD12" i="9"/>
  <c r="BD19" i="9"/>
  <c r="BD11" i="9"/>
  <c r="BD15" i="9"/>
  <c r="BD21" i="9"/>
  <c r="BD17" i="9"/>
  <c r="BD13" i="9"/>
  <c r="BD9" i="9"/>
  <c r="BT18" i="9"/>
  <c r="BT14" i="9"/>
  <c r="AF17" i="3" s="1"/>
  <c r="BT10" i="9"/>
  <c r="BT20" i="9"/>
  <c r="BT16" i="9"/>
  <c r="BT12" i="9"/>
  <c r="AF15" i="3" s="1"/>
  <c r="BT19" i="9"/>
  <c r="BT11" i="9"/>
  <c r="AF14" i="3" s="1"/>
  <c r="BT15" i="9"/>
  <c r="BT21" i="9"/>
  <c r="BT17" i="9"/>
  <c r="BT13" i="9"/>
  <c r="BT9" i="9"/>
  <c r="BL18" i="9"/>
  <c r="BL14" i="9"/>
  <c r="BL10" i="9"/>
  <c r="BL20" i="9"/>
  <c r="BL16" i="9"/>
  <c r="BL12" i="9"/>
  <c r="BL19" i="9"/>
  <c r="BL11" i="9"/>
  <c r="BL15" i="9"/>
  <c r="BL21" i="9"/>
  <c r="BL17" i="9"/>
  <c r="BL13" i="9"/>
  <c r="BL9" i="9"/>
  <c r="AR112" i="5"/>
  <c r="AP19" i="5"/>
  <c r="AR12" i="5" s="1"/>
  <c r="Q72" i="3"/>
  <c r="F57" i="4"/>
  <c r="S68" i="5" s="1"/>
  <c r="R68" i="5" s="1"/>
  <c r="Q94" i="3"/>
  <c r="R94" i="3" s="1"/>
  <c r="H61" i="4" s="1"/>
  <c r="F60" i="4"/>
  <c r="S101" i="5" s="1"/>
  <c r="R101" i="5" s="1"/>
  <c r="P88" i="3"/>
  <c r="F55" i="4" s="1"/>
  <c r="S73" i="5" s="1"/>
  <c r="R73" i="5" s="1"/>
  <c r="F38" i="4"/>
  <c r="F36" i="4" s="1"/>
  <c r="S58" i="5" s="1"/>
  <c r="R58" i="5" s="1"/>
  <c r="F58" i="4"/>
  <c r="S83" i="5" s="1"/>
  <c r="R83" i="5" s="1"/>
  <c r="AB75" i="3"/>
  <c r="N43" i="4" s="1"/>
  <c r="P67" i="3"/>
  <c r="F35" i="4" s="1"/>
  <c r="S52" i="5" s="1"/>
  <c r="R52" i="5" s="1"/>
  <c r="AF12" i="3" a="1"/>
  <c r="V12" i="3" a="1"/>
  <c r="AE160" i="5"/>
  <c r="AD160" i="5" s="1"/>
  <c r="AE62" i="5"/>
  <c r="AD62" i="5" s="1"/>
  <c r="AD59" i="5" s="1"/>
  <c r="AE129" i="5"/>
  <c r="AD129" i="5" s="1"/>
  <c r="Q10" i="3"/>
  <c r="Q33" i="3"/>
  <c r="F3" i="4"/>
  <c r="S117" i="5" s="1"/>
  <c r="R117" i="5" s="1"/>
  <c r="S122" i="5"/>
  <c r="R122" i="5" s="1"/>
  <c r="S154" i="5"/>
  <c r="R154" i="5" s="1"/>
  <c r="S152" i="5"/>
  <c r="R152" i="5" s="1"/>
  <c r="F63" i="4"/>
  <c r="S118" i="5" s="1"/>
  <c r="S148" i="5"/>
  <c r="R148" i="5" s="1"/>
  <c r="S146" i="5"/>
  <c r="R146" i="5" s="1"/>
  <c r="S147" i="5"/>
  <c r="R147" i="5" s="1"/>
  <c r="S153" i="5"/>
  <c r="R153" i="5" s="1"/>
  <c r="AA33" i="3"/>
  <c r="AA10" i="3"/>
  <c r="N16" i="4"/>
  <c r="W135" i="5"/>
  <c r="S91" i="3"/>
  <c r="H58" i="4"/>
  <c r="V83" i="5" s="1"/>
  <c r="U83" i="5" s="1"/>
  <c r="S90" i="3"/>
  <c r="H57" i="4"/>
  <c r="S93" i="3"/>
  <c r="H60" i="4"/>
  <c r="V101" i="5" s="1"/>
  <c r="U101" i="5" s="1"/>
  <c r="U128" i="5"/>
  <c r="V106" i="5"/>
  <c r="U106" i="5" s="1"/>
  <c r="V107" i="5"/>
  <c r="U107" i="5" s="1"/>
  <c r="V108" i="5"/>
  <c r="U108" i="5" s="1"/>
  <c r="V84" i="5"/>
  <c r="U84" i="5" s="1"/>
  <c r="V85" i="5"/>
  <c r="U85" i="5" s="1"/>
  <c r="S48" i="5"/>
  <c r="R48" i="5" s="1"/>
  <c r="R44" i="5" s="1"/>
  <c r="V125" i="5"/>
  <c r="U125" i="5" s="1"/>
  <c r="V48" i="5"/>
  <c r="U48" i="5" s="1"/>
  <c r="U44" i="5" s="1"/>
  <c r="V123" i="5"/>
  <c r="U123" i="5" s="1"/>
  <c r="V79" i="5"/>
  <c r="U79" i="5" s="1"/>
  <c r="V126" i="5"/>
  <c r="U126" i="5" s="1"/>
  <c r="V121" i="5"/>
  <c r="U121" i="5" s="1"/>
  <c r="V102" i="5"/>
  <c r="U102" i="5" s="1"/>
  <c r="V33" i="5"/>
  <c r="U33" i="5" s="1"/>
  <c r="S94" i="5"/>
  <c r="R94" i="5" s="1"/>
  <c r="R90" i="5" s="1"/>
  <c r="V97" i="5"/>
  <c r="U97" i="5" s="1"/>
  <c r="V120" i="5"/>
  <c r="U120" i="5" s="1"/>
  <c r="V71" i="5"/>
  <c r="U71" i="5" s="1"/>
  <c r="V28" i="5"/>
  <c r="U28" i="5" s="1"/>
  <c r="V94" i="5"/>
  <c r="U94" i="5" s="1"/>
  <c r="U90" i="5" s="1"/>
  <c r="S114" i="5"/>
  <c r="R114" i="5" s="1"/>
  <c r="V114" i="5"/>
  <c r="U114" i="5" s="1"/>
  <c r="U113" i="5" s="1"/>
  <c r="V128" i="5"/>
  <c r="V36" i="5"/>
  <c r="V67" i="5"/>
  <c r="V113" i="5"/>
  <c r="V112" i="5"/>
  <c r="V44" i="5"/>
  <c r="V95" i="5"/>
  <c r="V89" i="5"/>
  <c r="V59" i="5"/>
  <c r="W59" i="5" s="1"/>
  <c r="V72" i="5"/>
  <c r="V21" i="5"/>
  <c r="V82" i="5"/>
  <c r="V145" i="5"/>
  <c r="W145" i="5" s="1"/>
  <c r="V66" i="5"/>
  <c r="V20" i="5"/>
  <c r="V105" i="5"/>
  <c r="V19" i="5"/>
  <c r="W5" i="5" s="1"/>
  <c r="W6" i="5" s="1"/>
  <c r="V26" i="5"/>
  <c r="V163" i="5"/>
  <c r="W163" i="5" s="1"/>
  <c r="V151" i="5"/>
  <c r="W151" i="5" s="1"/>
  <c r="V43" i="5"/>
  <c r="V49" i="5"/>
  <c r="V90" i="5"/>
  <c r="V157" i="5"/>
  <c r="W157" i="5" s="1"/>
  <c r="V118" i="5"/>
  <c r="V22" i="5"/>
  <c r="U22" i="5" s="1"/>
  <c r="V39" i="5"/>
  <c r="U39" i="5" s="1"/>
  <c r="U36" i="5" s="1"/>
  <c r="V25" i="5"/>
  <c r="U25" i="5" s="1"/>
  <c r="V35" i="5"/>
  <c r="U35" i="5" s="1"/>
  <c r="S120" i="5"/>
  <c r="R120" i="5" s="1"/>
  <c r="Q75" i="3"/>
  <c r="S28" i="5"/>
  <c r="R28" i="5" s="1"/>
  <c r="S71" i="5"/>
  <c r="R71" i="5" s="1"/>
  <c r="S97" i="5"/>
  <c r="R97" i="5" s="1"/>
  <c r="R128" i="5"/>
  <c r="V53" i="5"/>
  <c r="U53" i="5" s="1"/>
  <c r="S77" i="5"/>
  <c r="R77" i="5" s="1"/>
  <c r="S106" i="5"/>
  <c r="R106" i="5" s="1"/>
  <c r="S84" i="5"/>
  <c r="R84" i="5" s="1"/>
  <c r="S108" i="5"/>
  <c r="R108" i="5" s="1"/>
  <c r="S85" i="5"/>
  <c r="R85" i="5" s="1"/>
  <c r="S107" i="5"/>
  <c r="R107" i="5" s="1"/>
  <c r="S37" i="5"/>
  <c r="R37" i="5" s="1"/>
  <c r="S32" i="5"/>
  <c r="R32" i="5" s="1"/>
  <c r="S126" i="5"/>
  <c r="R126" i="5" s="1"/>
  <c r="S102" i="5"/>
  <c r="R102" i="5" s="1"/>
  <c r="S125" i="5"/>
  <c r="R125" i="5" s="1"/>
  <c r="V52" i="5"/>
  <c r="U52" i="5" s="1"/>
  <c r="S53" i="5"/>
  <c r="R53" i="5" s="1"/>
  <c r="S50" i="5"/>
  <c r="R50" i="5" s="1"/>
  <c r="V77" i="5"/>
  <c r="U77" i="5" s="1"/>
  <c r="V23" i="3" l="1"/>
  <c r="S74" i="5"/>
  <c r="R74" i="5" s="1"/>
  <c r="S69" i="5"/>
  <c r="R69" i="5" s="1"/>
  <c r="R67" i="5" s="1"/>
  <c r="AF19" i="3"/>
  <c r="S57" i="5"/>
  <c r="R57" i="5" s="1"/>
  <c r="Q88" i="3"/>
  <c r="K19" i="10" a="1"/>
  <c r="K19" i="10" s="1"/>
  <c r="K24" i="10" s="1"/>
  <c r="K26" i="10" s="1"/>
  <c r="K21" i="10" a="1"/>
  <c r="K21" i="10" s="1"/>
  <c r="K25" i="10" s="1"/>
  <c r="K17" i="10" a="1"/>
  <c r="K17" i="10" s="1"/>
  <c r="K23" i="10" s="1"/>
  <c r="AR7" i="5"/>
  <c r="AR8" i="5" s="1"/>
  <c r="AR9" i="5" s="1"/>
  <c r="AR11" i="5" s="1"/>
  <c r="AR13" i="5"/>
  <c r="BM9" i="9" a="1"/>
  <c r="BD8" i="9"/>
  <c r="BU9" i="9" a="1"/>
  <c r="BL8" i="9"/>
  <c r="BT8" i="9"/>
  <c r="AR19" i="5"/>
  <c r="S79" i="5"/>
  <c r="R79" i="5" s="1"/>
  <c r="R88" i="3"/>
  <c r="H55" i="4" s="1"/>
  <c r="V74" i="5" s="1"/>
  <c r="U74" i="5" s="1"/>
  <c r="S72" i="5"/>
  <c r="S22" i="5"/>
  <c r="R22" i="5" s="1"/>
  <c r="S55" i="5"/>
  <c r="R55" i="5" s="1"/>
  <c r="S94" i="3"/>
  <c r="R113" i="5"/>
  <c r="S80" i="5"/>
  <c r="R80" i="5" s="1"/>
  <c r="S19" i="5"/>
  <c r="T5" i="5" s="1"/>
  <c r="T6" i="5" s="1"/>
  <c r="S26" i="5"/>
  <c r="S123" i="5"/>
  <c r="R123" i="5" s="1"/>
  <c r="V75" i="5"/>
  <c r="U75" i="5" s="1"/>
  <c r="S112" i="5"/>
  <c r="S95" i="5"/>
  <c r="S43" i="5"/>
  <c r="S89" i="5"/>
  <c r="S20" i="5"/>
  <c r="S128" i="5"/>
  <c r="T128" i="5" s="1"/>
  <c r="S66" i="5"/>
  <c r="S33" i="5"/>
  <c r="R33" i="5" s="1"/>
  <c r="S121" i="5"/>
  <c r="R121" i="5" s="1"/>
  <c r="S75" i="5"/>
  <c r="R75" i="5" s="1"/>
  <c r="Q67" i="3"/>
  <c r="S35" i="5"/>
  <c r="R35" i="5" s="1"/>
  <c r="S39" i="5"/>
  <c r="R39" i="5" s="1"/>
  <c r="R36" i="5" s="1"/>
  <c r="S25" i="5"/>
  <c r="R25" i="5" s="1"/>
  <c r="R151" i="5"/>
  <c r="S157" i="5"/>
  <c r="T157" i="5" s="1"/>
  <c r="S151" i="5"/>
  <c r="S163" i="5"/>
  <c r="T163" i="5" s="1"/>
  <c r="V20" i="3"/>
  <c r="AE127" i="5"/>
  <c r="AD127" i="5" s="1"/>
  <c r="AE56" i="5"/>
  <c r="AD56" i="5" s="1"/>
  <c r="R145" i="5"/>
  <c r="V12" i="3"/>
  <c r="S145" i="5"/>
  <c r="S49" i="5"/>
  <c r="S113" i="5"/>
  <c r="V17" i="3"/>
  <c r="AF24" i="3"/>
  <c r="AF12" i="3"/>
  <c r="AH76" i="3" s="1"/>
  <c r="R44" i="4" s="1"/>
  <c r="V15" i="3"/>
  <c r="V13" i="3"/>
  <c r="V24" i="3"/>
  <c r="S36" i="5"/>
  <c r="S59" i="5"/>
  <c r="T59" i="5" s="1"/>
  <c r="S67" i="5"/>
  <c r="V22" i="3"/>
  <c r="AF21" i="3"/>
  <c r="V21" i="3"/>
  <c r="AF18" i="3"/>
  <c r="S105" i="5"/>
  <c r="S21" i="5"/>
  <c r="S44" i="5"/>
  <c r="T44" i="5" s="1"/>
  <c r="V18" i="3"/>
  <c r="W62" i="3" s="1"/>
  <c r="AF20" i="3"/>
  <c r="V19" i="3"/>
  <c r="V16" i="3"/>
  <c r="AF13" i="3"/>
  <c r="AF22" i="3"/>
  <c r="V14" i="3"/>
  <c r="AF16" i="3"/>
  <c r="S82" i="5"/>
  <c r="S90" i="5"/>
  <c r="T90" i="5" s="1"/>
  <c r="AF23" i="3"/>
  <c r="V80" i="5"/>
  <c r="U80" i="5" s="1"/>
  <c r="V51" i="5"/>
  <c r="U51" i="5" s="1"/>
  <c r="V68" i="5"/>
  <c r="U68" i="5" s="1"/>
  <c r="V69" i="5"/>
  <c r="U69" i="5" s="1"/>
  <c r="V81" i="5"/>
  <c r="U81" i="5" s="1"/>
  <c r="V55" i="5"/>
  <c r="U55" i="5" s="1"/>
  <c r="V50" i="5"/>
  <c r="U50" i="5" s="1"/>
  <c r="W128" i="5"/>
  <c r="W36" i="5"/>
  <c r="U21" i="5"/>
  <c r="W21" i="5" s="1"/>
  <c r="V104" i="5"/>
  <c r="U104" i="5" s="1"/>
  <c r="V29" i="5"/>
  <c r="U29" i="5" s="1"/>
  <c r="V98" i="5"/>
  <c r="U98" i="5" s="1"/>
  <c r="W44" i="5"/>
  <c r="W90" i="5"/>
  <c r="U105" i="5"/>
  <c r="W105" i="5" s="1"/>
  <c r="U82" i="5"/>
  <c r="W82" i="5" s="1"/>
  <c r="W113" i="5"/>
  <c r="V100" i="5"/>
  <c r="U100" i="5" s="1"/>
  <c r="V31" i="5"/>
  <c r="U31" i="5" s="1"/>
  <c r="V103" i="5"/>
  <c r="U103" i="5" s="1"/>
  <c r="V34" i="5"/>
  <c r="U34" i="5" s="1"/>
  <c r="U118" i="5"/>
  <c r="W118" i="5" s="1"/>
  <c r="S98" i="5"/>
  <c r="R98" i="5" s="1"/>
  <c r="S104" i="5"/>
  <c r="R104" i="5" s="1"/>
  <c r="S29" i="5"/>
  <c r="R29" i="5" s="1"/>
  <c r="AB158" i="5"/>
  <c r="AA158" i="5" s="1"/>
  <c r="R82" i="5"/>
  <c r="R105" i="5"/>
  <c r="S100" i="5"/>
  <c r="R100" i="5" s="1"/>
  <c r="S103" i="5"/>
  <c r="R103" i="5" s="1"/>
  <c r="S34" i="5"/>
  <c r="R34" i="5" s="1"/>
  <c r="S31" i="5"/>
  <c r="R31" i="5" s="1"/>
  <c r="W61" i="3" l="1"/>
  <c r="W63" i="3"/>
  <c r="R49" i="5"/>
  <c r="T49" i="5" s="1"/>
  <c r="T113" i="5"/>
  <c r="K27" i="10"/>
  <c r="BU20" i="9"/>
  <c r="BU16" i="9"/>
  <c r="BU12" i="9"/>
  <c r="BU18" i="9"/>
  <c r="BU14" i="9"/>
  <c r="BU10" i="9"/>
  <c r="BU21" i="9"/>
  <c r="BU13" i="9"/>
  <c r="BU17" i="9"/>
  <c r="BU9" i="9"/>
  <c r="BU19" i="9"/>
  <c r="BU15" i="9"/>
  <c r="BU11" i="9"/>
  <c r="BM20" i="9"/>
  <c r="BM16" i="9"/>
  <c r="BM12" i="9"/>
  <c r="BM18" i="9"/>
  <c r="BM14" i="9"/>
  <c r="BM10" i="9"/>
  <c r="BM21" i="9"/>
  <c r="BM13" i="9"/>
  <c r="BM17" i="9"/>
  <c r="BM9" i="9"/>
  <c r="BM19" i="9"/>
  <c r="BM15" i="9"/>
  <c r="BM11" i="9"/>
  <c r="V73" i="5"/>
  <c r="U73" i="5" s="1"/>
  <c r="U72" i="5" s="1"/>
  <c r="W72" i="5" s="1"/>
  <c r="S88" i="3"/>
  <c r="R21" i="5"/>
  <c r="T21" i="5" s="1"/>
  <c r="R72" i="5"/>
  <c r="T72" i="5" s="1"/>
  <c r="R118" i="5"/>
  <c r="R112" i="5" s="1"/>
  <c r="T112" i="5" s="1"/>
  <c r="AH79" i="3"/>
  <c r="R47" i="4" s="1"/>
  <c r="T82" i="5"/>
  <c r="T67" i="5"/>
  <c r="T105" i="5"/>
  <c r="AH80" i="3"/>
  <c r="R48" i="4" s="1"/>
  <c r="AH77" i="3"/>
  <c r="R45" i="4" s="1"/>
  <c r="R19" i="4"/>
  <c r="AH78" i="3"/>
  <c r="R46" i="4" s="1"/>
  <c r="T151" i="5"/>
  <c r="R20" i="4"/>
  <c r="J5" i="4"/>
  <c r="V10" i="3"/>
  <c r="W13" i="3" s="1"/>
  <c r="R21" i="4"/>
  <c r="AF10" i="3"/>
  <c r="R18" i="4"/>
  <c r="J8" i="4"/>
  <c r="Y38" i="5" s="1"/>
  <c r="X38" i="5" s="1"/>
  <c r="J6" i="4"/>
  <c r="J7" i="4"/>
  <c r="T36" i="5"/>
  <c r="T145" i="5"/>
  <c r="U67" i="5"/>
  <c r="W67" i="5" s="1"/>
  <c r="U49" i="5"/>
  <c r="W49" i="5" s="1"/>
  <c r="U95" i="5"/>
  <c r="W95" i="5" s="1"/>
  <c r="U26" i="5"/>
  <c r="W26" i="5" s="1"/>
  <c r="AB93" i="5"/>
  <c r="AA93" i="5" s="1"/>
  <c r="AB70" i="5"/>
  <c r="AA70" i="5" s="1"/>
  <c r="AB47" i="5"/>
  <c r="AA47" i="5" s="1"/>
  <c r="AB116" i="5"/>
  <c r="AA116" i="5" s="1"/>
  <c r="AB38" i="5"/>
  <c r="AA38" i="5" s="1"/>
  <c r="AB24" i="5"/>
  <c r="AA24" i="5" s="1"/>
  <c r="U112" i="5"/>
  <c r="W112" i="5" s="1"/>
  <c r="Y47" i="5"/>
  <c r="X47" i="5" s="1"/>
  <c r="AB27" i="5"/>
  <c r="AA27" i="5" s="1"/>
  <c r="R26" i="5"/>
  <c r="R95" i="5"/>
  <c r="Y158" i="5"/>
  <c r="X158" i="5" s="1"/>
  <c r="Y70" i="5"/>
  <c r="X70" i="5" s="1"/>
  <c r="Y24" i="5"/>
  <c r="X24" i="5" s="1"/>
  <c r="Y93" i="5"/>
  <c r="X93" i="5" s="1"/>
  <c r="R43" i="5" l="1"/>
  <c r="T43" i="5" s="1"/>
  <c r="BN9" i="9" a="1"/>
  <c r="BM8" i="9"/>
  <c r="BV9" i="9" a="1"/>
  <c r="BU8" i="9"/>
  <c r="R66" i="5"/>
  <c r="T66" i="5" s="1"/>
  <c r="T118" i="5"/>
  <c r="Y116" i="5"/>
  <c r="X116" i="5" s="1"/>
  <c r="W71" i="3"/>
  <c r="AH85" i="3"/>
  <c r="R54" i="4" s="1"/>
  <c r="AH84" i="3"/>
  <c r="R53" i="4" s="1"/>
  <c r="AH83" i="3"/>
  <c r="R52" i="4" s="1"/>
  <c r="V93" i="3"/>
  <c r="J60" i="4" s="1"/>
  <c r="Y101" i="5" s="1"/>
  <c r="X101" i="5" s="1"/>
  <c r="W89" i="3"/>
  <c r="W15" i="3"/>
  <c r="R49" i="4"/>
  <c r="W58" i="3"/>
  <c r="V91" i="3"/>
  <c r="J58" i="4" s="1"/>
  <c r="Y83" i="5" s="1"/>
  <c r="X83" i="5" s="1"/>
  <c r="W92" i="3"/>
  <c r="W21" i="3"/>
  <c r="W60" i="3"/>
  <c r="U66" i="5"/>
  <c r="W66" i="5" s="1"/>
  <c r="V94" i="3"/>
  <c r="W94" i="3" s="1"/>
  <c r="X94" i="3" s="1"/>
  <c r="W68" i="3"/>
  <c r="V72" i="3"/>
  <c r="W72" i="3" s="1"/>
  <c r="W59" i="3"/>
  <c r="V69" i="3"/>
  <c r="W69" i="3" s="1"/>
  <c r="W16" i="3"/>
  <c r="J9" i="4"/>
  <c r="J4" i="4"/>
  <c r="V90" i="3"/>
  <c r="J57" i="4" s="1"/>
  <c r="Y69" i="5" s="1"/>
  <c r="X69" i="5" s="1"/>
  <c r="W70" i="3"/>
  <c r="R17" i="4"/>
  <c r="R22" i="4"/>
  <c r="AG23" i="3"/>
  <c r="AG14" i="3"/>
  <c r="AG17" i="3"/>
  <c r="AG12" i="3"/>
  <c r="AF8" i="3"/>
  <c r="AG10" i="3" s="1"/>
  <c r="AG26" i="3"/>
  <c r="AG15" i="3"/>
  <c r="AG30" i="3"/>
  <c r="AG20" i="3"/>
  <c r="AG29" i="3"/>
  <c r="AG19" i="3"/>
  <c r="AG28" i="3"/>
  <c r="AG31" i="3"/>
  <c r="AG16" i="3"/>
  <c r="AG22" i="3"/>
  <c r="AG21" i="3"/>
  <c r="AG27" i="3"/>
  <c r="AG24" i="3"/>
  <c r="AG18" i="3"/>
  <c r="W75" i="3"/>
  <c r="AG13" i="3"/>
  <c r="AK63" i="5"/>
  <c r="AJ63" i="5" s="1"/>
  <c r="AK109" i="5"/>
  <c r="AJ109" i="5" s="1"/>
  <c r="AK61" i="5"/>
  <c r="AJ61" i="5" s="1"/>
  <c r="W20" i="3"/>
  <c r="W23" i="3"/>
  <c r="W27" i="3"/>
  <c r="W12" i="3"/>
  <c r="V8" i="3"/>
  <c r="W18" i="3"/>
  <c r="W31" i="3"/>
  <c r="W17" i="3"/>
  <c r="W30" i="3"/>
  <c r="W22" i="3"/>
  <c r="W26" i="3"/>
  <c r="W19" i="3"/>
  <c r="W28" i="3"/>
  <c r="W29" i="3"/>
  <c r="W14" i="3"/>
  <c r="W24" i="3"/>
  <c r="U43" i="5"/>
  <c r="W43" i="5" s="1"/>
  <c r="U89" i="5"/>
  <c r="W89" i="5" s="1"/>
  <c r="U20" i="5"/>
  <c r="W20" i="5" s="1"/>
  <c r="Y114" i="5"/>
  <c r="X114" i="5" s="1"/>
  <c r="AB114" i="5"/>
  <c r="AA114" i="5" s="1"/>
  <c r="AB97" i="5"/>
  <c r="AA97" i="5" s="1"/>
  <c r="AB71" i="5"/>
  <c r="AA71" i="5" s="1"/>
  <c r="AB120" i="5"/>
  <c r="AA120" i="5" s="1"/>
  <c r="AB94" i="5"/>
  <c r="AA94" i="5" s="1"/>
  <c r="AB28" i="5"/>
  <c r="AA28" i="5" s="1"/>
  <c r="AB131" i="5"/>
  <c r="AA131" i="5" s="1"/>
  <c r="AB117" i="5"/>
  <c r="AA117" i="5" s="1"/>
  <c r="AB159" i="5"/>
  <c r="AA159" i="5" s="1"/>
  <c r="AA157" i="5" s="1"/>
  <c r="AB119" i="5"/>
  <c r="AA119" i="5" s="1"/>
  <c r="AB96" i="5"/>
  <c r="AA96" i="5" s="1"/>
  <c r="AB130" i="5"/>
  <c r="AA130" i="5" s="1"/>
  <c r="AB91" i="5"/>
  <c r="AA91" i="5" s="1"/>
  <c r="AB45" i="5"/>
  <c r="AA45" i="5" s="1"/>
  <c r="T26" i="5"/>
  <c r="R20" i="5"/>
  <c r="Y97" i="5"/>
  <c r="X97" i="5" s="1"/>
  <c r="Y28" i="5"/>
  <c r="X28" i="5" s="1"/>
  <c r="Y120" i="5"/>
  <c r="X120" i="5" s="1"/>
  <c r="Y94" i="5"/>
  <c r="X94" i="5" s="1"/>
  <c r="Y71" i="5"/>
  <c r="X71" i="5" s="1"/>
  <c r="T95" i="5"/>
  <c r="R89" i="5"/>
  <c r="T89" i="5" s="1"/>
  <c r="Y91" i="5"/>
  <c r="X91" i="5" s="1"/>
  <c r="Y45" i="5"/>
  <c r="X45" i="5" s="1"/>
  <c r="Y96" i="5"/>
  <c r="X96" i="5" s="1"/>
  <c r="Y159" i="5"/>
  <c r="X159" i="5" s="1"/>
  <c r="X157" i="5" s="1"/>
  <c r="Y131" i="5"/>
  <c r="X131" i="5" s="1"/>
  <c r="Y27" i="5"/>
  <c r="X27" i="5" s="1"/>
  <c r="Y119" i="5"/>
  <c r="X119" i="5" s="1"/>
  <c r="Y130" i="5"/>
  <c r="X130" i="5" s="1"/>
  <c r="Y51" i="5"/>
  <c r="X51" i="5" s="1"/>
  <c r="BV18" i="9" l="1"/>
  <c r="BV14" i="9"/>
  <c r="BV10" i="9"/>
  <c r="BV20" i="9"/>
  <c r="BV16" i="9"/>
  <c r="BV12" i="9"/>
  <c r="BV15" i="9"/>
  <c r="BV19" i="9"/>
  <c r="BV11" i="9"/>
  <c r="BV9" i="9"/>
  <c r="BV21" i="9"/>
  <c r="BV17" i="9"/>
  <c r="BV13" i="9"/>
  <c r="BN18" i="9"/>
  <c r="BN14" i="9"/>
  <c r="BN10" i="9"/>
  <c r="BN20" i="9"/>
  <c r="BN16" i="9"/>
  <c r="BN12" i="9"/>
  <c r="BN15" i="9"/>
  <c r="BN19" i="9"/>
  <c r="AB22" i="3" s="1"/>
  <c r="BN11" i="9"/>
  <c r="BN9" i="9"/>
  <c r="BN21" i="9"/>
  <c r="BN17" i="9"/>
  <c r="BN13" i="9"/>
  <c r="AB16" i="3" s="1"/>
  <c r="W93" i="3"/>
  <c r="X93" i="3" s="1"/>
  <c r="L60" i="4" s="1"/>
  <c r="AB101" i="5" s="1"/>
  <c r="AA101" i="5" s="1"/>
  <c r="W91" i="3"/>
  <c r="X91" i="3" s="1"/>
  <c r="Y91" i="3" s="1"/>
  <c r="J38" i="4"/>
  <c r="J36" i="4" s="1"/>
  <c r="Y57" i="5" s="1"/>
  <c r="X57" i="5" s="1"/>
  <c r="V67" i="3"/>
  <c r="J35" i="4" s="1"/>
  <c r="Y52" i="5" s="1"/>
  <c r="X52" i="5" s="1"/>
  <c r="J42" i="4"/>
  <c r="J39" i="4" s="1"/>
  <c r="W90" i="3"/>
  <c r="X90" i="3" s="1"/>
  <c r="J61" i="4"/>
  <c r="Y81" i="5" s="1"/>
  <c r="X81" i="5" s="1"/>
  <c r="V88" i="3"/>
  <c r="J55" i="4" s="1"/>
  <c r="Y74" i="5" s="1"/>
  <c r="X74" i="5" s="1"/>
  <c r="R16" i="4"/>
  <c r="AG33" i="3"/>
  <c r="AH75" i="3"/>
  <c r="R43" i="4" s="1"/>
  <c r="Y153" i="5"/>
  <c r="X153" i="5" s="1"/>
  <c r="Y122" i="5"/>
  <c r="X122" i="5" s="1"/>
  <c r="Y152" i="5"/>
  <c r="X152" i="5" s="1"/>
  <c r="J63" i="4"/>
  <c r="Y89" i="5" s="1"/>
  <c r="Y147" i="5"/>
  <c r="X147" i="5" s="1"/>
  <c r="Y154" i="5"/>
  <c r="X154" i="5" s="1"/>
  <c r="Y146" i="5"/>
  <c r="X146" i="5" s="1"/>
  <c r="Y148" i="5"/>
  <c r="X148" i="5" s="1"/>
  <c r="AB12" i="3" a="1"/>
  <c r="W10" i="3"/>
  <c r="J3" i="4"/>
  <c r="Y117" i="5" s="1"/>
  <c r="X117" i="5" s="1"/>
  <c r="X113" i="5" s="1"/>
  <c r="W33" i="3"/>
  <c r="AK129" i="5"/>
  <c r="AJ129" i="5" s="1"/>
  <c r="AK160" i="5"/>
  <c r="AJ160" i="5" s="1"/>
  <c r="AK62" i="5"/>
  <c r="AJ62" i="5" s="1"/>
  <c r="AJ59" i="5" s="1"/>
  <c r="Y68" i="5"/>
  <c r="X68" i="5" s="1"/>
  <c r="X67" i="5" s="1"/>
  <c r="Y94" i="3"/>
  <c r="L61" i="4"/>
  <c r="AB81" i="5" s="1"/>
  <c r="AA81" i="5" s="1"/>
  <c r="X90" i="5"/>
  <c r="AA113" i="5"/>
  <c r="AA128" i="5"/>
  <c r="U19" i="5"/>
  <c r="AA90" i="5"/>
  <c r="AB66" i="5"/>
  <c r="AB21" i="5"/>
  <c r="AB36" i="5"/>
  <c r="AB163" i="5"/>
  <c r="AC163" i="5" s="1"/>
  <c r="AB118" i="5"/>
  <c r="AB151" i="5"/>
  <c r="AC151" i="5" s="1"/>
  <c r="AB43" i="5"/>
  <c r="AB112" i="5"/>
  <c r="AB26" i="5"/>
  <c r="AB105" i="5"/>
  <c r="AB59" i="5"/>
  <c r="AC59" i="5" s="1"/>
  <c r="AB113" i="5"/>
  <c r="AB157" i="5"/>
  <c r="AC157" i="5" s="1"/>
  <c r="AB44" i="5"/>
  <c r="AB72" i="5"/>
  <c r="AB95" i="5"/>
  <c r="AB145" i="5"/>
  <c r="AC145" i="5" s="1"/>
  <c r="AB49" i="5"/>
  <c r="AB90" i="5"/>
  <c r="AB67" i="5"/>
  <c r="AB20" i="5"/>
  <c r="AB89" i="5"/>
  <c r="AB19" i="5"/>
  <c r="AC5" i="5" s="1"/>
  <c r="AC6" i="5" s="1"/>
  <c r="AB82" i="5"/>
  <c r="AB128" i="5"/>
  <c r="Y48" i="5"/>
  <c r="X48" i="5" s="1"/>
  <c r="X44" i="5" s="1"/>
  <c r="AB48" i="5"/>
  <c r="AA48" i="5" s="1"/>
  <c r="AA44" i="5" s="1"/>
  <c r="AB121" i="5"/>
  <c r="AA121" i="5" s="1"/>
  <c r="AB125" i="5"/>
  <c r="AA125" i="5" s="1"/>
  <c r="AB33" i="5"/>
  <c r="AA33" i="5" s="1"/>
  <c r="AB126" i="5"/>
  <c r="AA126" i="5" s="1"/>
  <c r="AB79" i="5"/>
  <c r="AA79" i="5" s="1"/>
  <c r="AB123" i="5"/>
  <c r="AA123" i="5" s="1"/>
  <c r="AB102" i="5"/>
  <c r="AA102" i="5" s="1"/>
  <c r="AB106" i="5"/>
  <c r="AA106" i="5" s="1"/>
  <c r="AB108" i="5"/>
  <c r="AA108" i="5" s="1"/>
  <c r="AB84" i="5"/>
  <c r="AA84" i="5" s="1"/>
  <c r="AB85" i="5"/>
  <c r="AA85" i="5" s="1"/>
  <c r="AB107" i="5"/>
  <c r="AA107" i="5" s="1"/>
  <c r="AB51" i="5"/>
  <c r="AA51" i="5" s="1"/>
  <c r="AB22" i="5"/>
  <c r="AA22" i="5" s="1"/>
  <c r="AB25" i="5"/>
  <c r="AA25" i="5" s="1"/>
  <c r="AB39" i="5"/>
  <c r="AA39" i="5" s="1"/>
  <c r="AA36" i="5" s="1"/>
  <c r="AB35" i="5"/>
  <c r="AA35" i="5" s="1"/>
  <c r="X128" i="5"/>
  <c r="Y80" i="5"/>
  <c r="X80" i="5" s="1"/>
  <c r="Y126" i="5"/>
  <c r="X126" i="5" s="1"/>
  <c r="Y125" i="5"/>
  <c r="X125" i="5" s="1"/>
  <c r="Y102" i="5"/>
  <c r="X102" i="5" s="1"/>
  <c r="Y84" i="5"/>
  <c r="X84" i="5" s="1"/>
  <c r="Y107" i="5"/>
  <c r="X107" i="5" s="1"/>
  <c r="Y37" i="5"/>
  <c r="X37" i="5" s="1"/>
  <c r="Y85" i="5"/>
  <c r="X85" i="5" s="1"/>
  <c r="Y108" i="5"/>
  <c r="X108" i="5" s="1"/>
  <c r="Y32" i="5"/>
  <c r="X32" i="5" s="1"/>
  <c r="Y106" i="5"/>
  <c r="X106" i="5" s="1"/>
  <c r="Y77" i="5"/>
  <c r="X77" i="5" s="1"/>
  <c r="Y75" i="5"/>
  <c r="X75" i="5" s="1"/>
  <c r="Y55" i="5"/>
  <c r="X55" i="5" s="1"/>
  <c r="Y53" i="5"/>
  <c r="X53" i="5" s="1"/>
  <c r="Y50" i="5"/>
  <c r="X50" i="5" s="1"/>
  <c r="AB53" i="5"/>
  <c r="AA53" i="5" s="1"/>
  <c r="AB50" i="5"/>
  <c r="AA50" i="5" s="1"/>
  <c r="AB52" i="5"/>
  <c r="AA52" i="5" s="1"/>
  <c r="T20" i="5"/>
  <c r="R19" i="5"/>
  <c r="Y93" i="3" l="1"/>
  <c r="AB17" i="3"/>
  <c r="D7" i="10"/>
  <c r="T12" i="5"/>
  <c r="I7" i="10" s="1"/>
  <c r="W12" i="5"/>
  <c r="I8" i="10" s="1"/>
  <c r="D8" i="10"/>
  <c r="T7" i="5"/>
  <c r="T8" i="5" s="1"/>
  <c r="T13" i="5"/>
  <c r="J7" i="10" s="1"/>
  <c r="W7" i="5"/>
  <c r="W8" i="5" s="1"/>
  <c r="W13" i="5"/>
  <c r="J8" i="10" s="1"/>
  <c r="BW9" i="9" a="1"/>
  <c r="BN8" i="9"/>
  <c r="BV8" i="9"/>
  <c r="AB24" i="3"/>
  <c r="AB13" i="3"/>
  <c r="AB18" i="3"/>
  <c r="AC62" i="3" s="1"/>
  <c r="AB14" i="3"/>
  <c r="AB21" i="3"/>
  <c r="AB19" i="3"/>
  <c r="AB23" i="3"/>
  <c r="AB15" i="3"/>
  <c r="AB12" i="3"/>
  <c r="AB20" i="3"/>
  <c r="L58" i="4"/>
  <c r="AB83" i="5" s="1"/>
  <c r="AA83" i="5" s="1"/>
  <c r="AA82" i="5" s="1"/>
  <c r="AC82" i="5" s="1"/>
  <c r="Y25" i="5"/>
  <c r="X25" i="5" s="1"/>
  <c r="X88" i="3"/>
  <c r="L55" i="4" s="1"/>
  <c r="AB74" i="5" s="1"/>
  <c r="AA74" i="5" s="1"/>
  <c r="Y39" i="5"/>
  <c r="X39" i="5" s="1"/>
  <c r="X36" i="5" s="1"/>
  <c r="Y58" i="5"/>
  <c r="X58" i="5" s="1"/>
  <c r="X49" i="5" s="1"/>
  <c r="Y35" i="5"/>
  <c r="X35" i="5" s="1"/>
  <c r="Y22" i="5"/>
  <c r="X22" i="5" s="1"/>
  <c r="W67" i="3"/>
  <c r="Y113" i="5"/>
  <c r="Z113" i="5" s="1"/>
  <c r="Y118" i="5"/>
  <c r="Y59" i="5"/>
  <c r="Z59" i="5" s="1"/>
  <c r="Y90" i="3"/>
  <c r="Y151" i="5"/>
  <c r="Y49" i="5"/>
  <c r="L57" i="4"/>
  <c r="AB68" i="5" s="1"/>
  <c r="AA68" i="5" s="1"/>
  <c r="Y90" i="5"/>
  <c r="Z90" i="5" s="1"/>
  <c r="Y73" i="5"/>
  <c r="X73" i="5" s="1"/>
  <c r="Y123" i="5"/>
  <c r="X123" i="5" s="1"/>
  <c r="W88" i="3"/>
  <c r="Y33" i="5"/>
  <c r="X33" i="5" s="1"/>
  <c r="Y21" i="5"/>
  <c r="Y95" i="5"/>
  <c r="Y20" i="5"/>
  <c r="Y82" i="5"/>
  <c r="Y163" i="5"/>
  <c r="Z163" i="5" s="1"/>
  <c r="Y43" i="5"/>
  <c r="Y67" i="5"/>
  <c r="Z67" i="5" s="1"/>
  <c r="Y112" i="5"/>
  <c r="Y72" i="5"/>
  <c r="Y105" i="5"/>
  <c r="Y66" i="5"/>
  <c r="Y36" i="5"/>
  <c r="Y19" i="5"/>
  <c r="Z5" i="5" s="1"/>
  <c r="Z6" i="5" s="1"/>
  <c r="Y44" i="5"/>
  <c r="Z44" i="5" s="1"/>
  <c r="Y145" i="5"/>
  <c r="Y128" i="5"/>
  <c r="Z128" i="5" s="1"/>
  <c r="Y157" i="5"/>
  <c r="Z157" i="5" s="1"/>
  <c r="Y26" i="5"/>
  <c r="X145" i="5"/>
  <c r="AK56" i="5"/>
  <c r="AJ56" i="5" s="1"/>
  <c r="AK127" i="5"/>
  <c r="AJ127" i="5" s="1"/>
  <c r="Y121" i="5"/>
  <c r="X121" i="5" s="1"/>
  <c r="Y79" i="5"/>
  <c r="X79" i="5" s="1"/>
  <c r="X151" i="5"/>
  <c r="AB80" i="5"/>
  <c r="AA80" i="5" s="1"/>
  <c r="AB55" i="5"/>
  <c r="AA55" i="5" s="1"/>
  <c r="AA49" i="5" s="1"/>
  <c r="AC113" i="5"/>
  <c r="AC128" i="5"/>
  <c r="W19" i="5"/>
  <c r="AC90" i="5"/>
  <c r="AC36" i="5"/>
  <c r="AA118" i="5"/>
  <c r="AC118" i="5" s="1"/>
  <c r="AC44" i="5"/>
  <c r="AB104" i="5"/>
  <c r="AA104" i="5" s="1"/>
  <c r="AB29" i="5"/>
  <c r="AA29" i="5" s="1"/>
  <c r="AB98" i="5"/>
  <c r="AA98" i="5" s="1"/>
  <c r="AB31" i="5"/>
  <c r="AA31" i="5" s="1"/>
  <c r="AB100" i="5"/>
  <c r="AA100" i="5" s="1"/>
  <c r="AB34" i="5"/>
  <c r="AA34" i="5" s="1"/>
  <c r="AB103" i="5"/>
  <c r="AA103" i="5" s="1"/>
  <c r="AA21" i="5"/>
  <c r="AA105" i="5"/>
  <c r="AC105" i="5" s="1"/>
  <c r="Y100" i="5"/>
  <c r="X100" i="5" s="1"/>
  <c r="Y103" i="5"/>
  <c r="X103" i="5" s="1"/>
  <c r="Y31" i="5"/>
  <c r="X31" i="5" s="1"/>
  <c r="Y34" i="5"/>
  <c r="X34" i="5" s="1"/>
  <c r="X105" i="5"/>
  <c r="AH158" i="5"/>
  <c r="AG158" i="5" s="1"/>
  <c r="Y29" i="5"/>
  <c r="X29" i="5" s="1"/>
  <c r="Y104" i="5"/>
  <c r="X104" i="5" s="1"/>
  <c r="Y98" i="5"/>
  <c r="X98" i="5" s="1"/>
  <c r="AB77" i="5"/>
  <c r="AA77" i="5" s="1"/>
  <c r="T19" i="5"/>
  <c r="X82" i="5"/>
  <c r="AC63" i="3" l="1"/>
  <c r="AC61" i="3"/>
  <c r="N7" i="4"/>
  <c r="N5" i="4"/>
  <c r="AB75" i="5"/>
  <c r="AA75" i="5" s="1"/>
  <c r="N8" i="4"/>
  <c r="AE38" i="5" s="1"/>
  <c r="AD38" i="5" s="1"/>
  <c r="N6" i="4"/>
  <c r="W9" i="5"/>
  <c r="W11" i="5" s="1"/>
  <c r="G8" i="10" s="1"/>
  <c r="H8" i="10" s="1"/>
  <c r="E8" i="10"/>
  <c r="F8" i="10" s="1"/>
  <c r="T9" i="5"/>
  <c r="T11" i="5" s="1"/>
  <c r="G7" i="10" s="1"/>
  <c r="E7" i="10"/>
  <c r="BW20" i="9"/>
  <c r="BW16" i="9"/>
  <c r="BW12" i="9"/>
  <c r="BW18" i="9"/>
  <c r="BW14" i="9"/>
  <c r="BW10" i="9"/>
  <c r="BW17" i="9"/>
  <c r="BW9" i="9"/>
  <c r="BW21" i="9"/>
  <c r="BW13" i="9"/>
  <c r="BW11" i="9"/>
  <c r="BW19" i="9"/>
  <c r="BW15" i="9"/>
  <c r="AB10" i="3"/>
  <c r="AC16" i="3" s="1"/>
  <c r="AB69" i="5"/>
  <c r="AA69" i="5" s="1"/>
  <c r="AA67" i="5" s="1"/>
  <c r="AC67" i="5" s="1"/>
  <c r="AB73" i="5"/>
  <c r="AA73" i="5" s="1"/>
  <c r="Y88" i="3"/>
  <c r="X21" i="5"/>
  <c r="Z21" i="5" s="1"/>
  <c r="Z105" i="5"/>
  <c r="X118" i="5"/>
  <c r="Z118" i="5" s="1"/>
  <c r="Z151" i="5"/>
  <c r="X72" i="5"/>
  <c r="X66" i="5" s="1"/>
  <c r="Z66" i="5" s="1"/>
  <c r="Z36" i="5"/>
  <c r="Z82" i="5"/>
  <c r="Z145" i="5"/>
  <c r="AA112" i="5"/>
  <c r="AC112" i="5" s="1"/>
  <c r="AA95" i="5"/>
  <c r="AC95" i="5" s="1"/>
  <c r="AH47" i="5"/>
  <c r="AG47" i="5" s="1"/>
  <c r="AH116" i="5"/>
  <c r="AG116" i="5" s="1"/>
  <c r="AH38" i="5"/>
  <c r="AG38" i="5" s="1"/>
  <c r="AH24" i="5"/>
  <c r="AG24" i="5" s="1"/>
  <c r="AA26" i="5"/>
  <c r="AC26" i="5" s="1"/>
  <c r="AH70" i="5"/>
  <c r="AG70" i="5" s="1"/>
  <c r="AH93" i="5"/>
  <c r="AG93" i="5" s="1"/>
  <c r="AC21" i="5"/>
  <c r="AE47" i="5"/>
  <c r="AD47" i="5" s="1"/>
  <c r="X26" i="5"/>
  <c r="Z26" i="5" s="1"/>
  <c r="X95" i="5"/>
  <c r="Z95" i="5" s="1"/>
  <c r="Z49" i="5"/>
  <c r="X43" i="5"/>
  <c r="Z43" i="5" s="1"/>
  <c r="AE158" i="5"/>
  <c r="AD158" i="5" s="1"/>
  <c r="AC49" i="5"/>
  <c r="AA43" i="5"/>
  <c r="AH27" i="5"/>
  <c r="AG27" i="5" s="1"/>
  <c r="AE93" i="5"/>
  <c r="AD93" i="5" s="1"/>
  <c r="AE70" i="5"/>
  <c r="AD70" i="5" s="1"/>
  <c r="AE24" i="5"/>
  <c r="AD24" i="5" s="1"/>
  <c r="AA72" i="5" l="1"/>
  <c r="AC72" i="5" s="1"/>
  <c r="N9" i="4"/>
  <c r="N4" i="4"/>
  <c r="AE146" i="5" s="1"/>
  <c r="AD146" i="5" s="1"/>
  <c r="AC20" i="3"/>
  <c r="AC18" i="3"/>
  <c r="AC29" i="3"/>
  <c r="AB93" i="3"/>
  <c r="N60" i="4" s="1"/>
  <c r="AE101" i="5" s="1"/>
  <c r="AD101" i="5" s="1"/>
  <c r="AC17" i="3"/>
  <c r="AC71" i="3"/>
  <c r="AC58" i="3"/>
  <c r="AC21" i="3"/>
  <c r="AC89" i="3"/>
  <c r="AE116" i="5"/>
  <c r="AD116" i="5" s="1"/>
  <c r="AC14" i="3"/>
  <c r="AC27" i="3"/>
  <c r="AB90" i="3"/>
  <c r="N57" i="4" s="1"/>
  <c r="AE69" i="5" s="1"/>
  <c r="AD69" i="5" s="1"/>
  <c r="AC23" i="3"/>
  <c r="AC92" i="3"/>
  <c r="AC75" i="3"/>
  <c r="AB8" i="3"/>
  <c r="AC33" i="3" s="1"/>
  <c r="AB69" i="3"/>
  <c r="AC70" i="3"/>
  <c r="AC12" i="3"/>
  <c r="AC31" i="3"/>
  <c r="AC24" i="3"/>
  <c r="AB72" i="3"/>
  <c r="AC72" i="3" s="1"/>
  <c r="AC60" i="3"/>
  <c r="AC30" i="3"/>
  <c r="AC15" i="3"/>
  <c r="AC28" i="3"/>
  <c r="AB94" i="3"/>
  <c r="AC94" i="3" s="1"/>
  <c r="AD94" i="3" s="1"/>
  <c r="AC59" i="3"/>
  <c r="AC26" i="3"/>
  <c r="AC13" i="3"/>
  <c r="AB91" i="3"/>
  <c r="AC91" i="3" s="1"/>
  <c r="AD91" i="3" s="1"/>
  <c r="AC68" i="3"/>
  <c r="AC22" i="3"/>
  <c r="AC19" i="3"/>
  <c r="F7" i="10"/>
  <c r="H7" i="10"/>
  <c r="BX9" i="9" a="1"/>
  <c r="BW8" i="9"/>
  <c r="X112" i="5"/>
  <c r="Z112" i="5" s="1"/>
  <c r="Z72" i="5"/>
  <c r="AE147" i="5"/>
  <c r="AD147" i="5" s="1"/>
  <c r="AA89" i="5"/>
  <c r="AC89" i="5" s="1"/>
  <c r="AE114" i="5"/>
  <c r="AD114" i="5" s="1"/>
  <c r="AH114" i="5"/>
  <c r="AG114" i="5" s="1"/>
  <c r="AH45" i="5"/>
  <c r="AG45" i="5" s="1"/>
  <c r="AH91" i="5"/>
  <c r="AG91" i="5" s="1"/>
  <c r="AH159" i="5"/>
  <c r="AG159" i="5" s="1"/>
  <c r="AG157" i="5" s="1"/>
  <c r="AH130" i="5"/>
  <c r="AG130" i="5" s="1"/>
  <c r="AH131" i="5"/>
  <c r="AG131" i="5" s="1"/>
  <c r="AH117" i="5"/>
  <c r="AG117" i="5" s="1"/>
  <c r="AH96" i="5"/>
  <c r="AG96" i="5" s="1"/>
  <c r="AH119" i="5"/>
  <c r="AG119" i="5" s="1"/>
  <c r="AA20" i="5"/>
  <c r="AC20" i="5" s="1"/>
  <c r="X20" i="5"/>
  <c r="Z20" i="5" s="1"/>
  <c r="X89" i="5"/>
  <c r="Z89" i="5" s="1"/>
  <c r="AC43" i="5"/>
  <c r="AE159" i="5"/>
  <c r="AD159" i="5" s="1"/>
  <c r="AD157" i="5" s="1"/>
  <c r="AE131" i="5"/>
  <c r="AD131" i="5" s="1"/>
  <c r="AE27" i="5"/>
  <c r="AD27" i="5" s="1"/>
  <c r="AE96" i="5"/>
  <c r="AD96" i="5" s="1"/>
  <c r="AE119" i="5"/>
  <c r="AD119" i="5" s="1"/>
  <c r="AE130" i="5"/>
  <c r="AD130" i="5" s="1"/>
  <c r="AE51" i="5"/>
  <c r="AD51" i="5" s="1"/>
  <c r="AE77" i="5"/>
  <c r="AD77" i="5" s="1"/>
  <c r="AE91" i="5"/>
  <c r="AD91" i="5" s="1"/>
  <c r="AE45" i="5"/>
  <c r="AD45" i="5" s="1"/>
  <c r="AE53" i="5"/>
  <c r="AD53" i="5" s="1"/>
  <c r="AE50" i="5"/>
  <c r="AD50" i="5" s="1"/>
  <c r="AA66" i="5" l="1"/>
  <c r="AC66" i="5" s="1"/>
  <c r="AB67" i="3"/>
  <c r="N35" i="4" s="1"/>
  <c r="AE52" i="5" s="1"/>
  <c r="AD52" i="5" s="1"/>
  <c r="AE152" i="5"/>
  <c r="AD152" i="5" s="1"/>
  <c r="AE122" i="5"/>
  <c r="AD122" i="5" s="1"/>
  <c r="N63" i="4"/>
  <c r="AE19" i="5" s="1"/>
  <c r="AF5" i="5" s="1"/>
  <c r="AF6" i="5" s="1"/>
  <c r="AE154" i="5"/>
  <c r="AD154" i="5" s="1"/>
  <c r="AE148" i="5"/>
  <c r="AD148" i="5" s="1"/>
  <c r="AD145" i="5" s="1"/>
  <c r="N58" i="4"/>
  <c r="AE83" i="5" s="1"/>
  <c r="AD83" i="5" s="1"/>
  <c r="AE153" i="5"/>
  <c r="AD153" i="5" s="1"/>
  <c r="N38" i="4"/>
  <c r="N36" i="4" s="1"/>
  <c r="AE58" i="5" s="1"/>
  <c r="AD58" i="5" s="1"/>
  <c r="AC69" i="3"/>
  <c r="AC93" i="3"/>
  <c r="AD93" i="3" s="1"/>
  <c r="P60" i="4" s="1"/>
  <c r="AH101" i="5" s="1"/>
  <c r="AG101" i="5" s="1"/>
  <c r="AB88" i="3"/>
  <c r="N55" i="4" s="1"/>
  <c r="AE73" i="5" s="1"/>
  <c r="AD73" i="5" s="1"/>
  <c r="AC90" i="3"/>
  <c r="AD90" i="3" s="1"/>
  <c r="N3" i="4"/>
  <c r="AE117" i="5" s="1"/>
  <c r="AD117" i="5" s="1"/>
  <c r="AD113" i="5" s="1"/>
  <c r="AC10" i="3"/>
  <c r="N61" i="4"/>
  <c r="AE81" i="5" s="1"/>
  <c r="AD81" i="5" s="1"/>
  <c r="N42" i="4"/>
  <c r="N39" i="4" s="1"/>
  <c r="BX18" i="9"/>
  <c r="BX14" i="9"/>
  <c r="BX10" i="9"/>
  <c r="BX20" i="9"/>
  <c r="BX16" i="9"/>
  <c r="BX12" i="9"/>
  <c r="BX19" i="9"/>
  <c r="BX11" i="9"/>
  <c r="BX15" i="9"/>
  <c r="BX13" i="9"/>
  <c r="BX9" i="9"/>
  <c r="BX21" i="9"/>
  <c r="BX17" i="9"/>
  <c r="AH20" i="3" s="1"/>
  <c r="AE55" i="5"/>
  <c r="AD55" i="5" s="1"/>
  <c r="AH12" i="3" a="1"/>
  <c r="AE68" i="5"/>
  <c r="AD68" i="5" s="1"/>
  <c r="AE80" i="5"/>
  <c r="AD80" i="5" s="1"/>
  <c r="AE91" i="3"/>
  <c r="P58" i="4"/>
  <c r="AH83" i="5" s="1"/>
  <c r="AG83" i="5" s="1"/>
  <c r="AE94" i="3"/>
  <c r="P61" i="4"/>
  <c r="AH81" i="5" s="1"/>
  <c r="AG81" i="5" s="1"/>
  <c r="AG113" i="5"/>
  <c r="AG128" i="5"/>
  <c r="AH22" i="5"/>
  <c r="AG22" i="5" s="1"/>
  <c r="AH39" i="5"/>
  <c r="AG39" i="5" s="1"/>
  <c r="AG36" i="5" s="1"/>
  <c r="AH25" i="5"/>
  <c r="AG25" i="5" s="1"/>
  <c r="AH35" i="5"/>
  <c r="AG35" i="5" s="1"/>
  <c r="AE48" i="5"/>
  <c r="AD48" i="5" s="1"/>
  <c r="AD44" i="5" s="1"/>
  <c r="AH125" i="5"/>
  <c r="AG125" i="5" s="1"/>
  <c r="AH102" i="5"/>
  <c r="AG102" i="5" s="1"/>
  <c r="AH33" i="5"/>
  <c r="AG33" i="5" s="1"/>
  <c r="AH126" i="5"/>
  <c r="AG126" i="5" s="1"/>
  <c r="AH48" i="5"/>
  <c r="AG48" i="5" s="1"/>
  <c r="AG44" i="5" s="1"/>
  <c r="AH121" i="5"/>
  <c r="AG121" i="5" s="1"/>
  <c r="AH123" i="5"/>
  <c r="AG123" i="5" s="1"/>
  <c r="AH79" i="5"/>
  <c r="AG79" i="5" s="1"/>
  <c r="AH51" i="5"/>
  <c r="AG51" i="5" s="1"/>
  <c r="AH49" i="5"/>
  <c r="AH67" i="5"/>
  <c r="AH145" i="5"/>
  <c r="AI145" i="5" s="1"/>
  <c r="AH90" i="5"/>
  <c r="AH21" i="5"/>
  <c r="AH20" i="5"/>
  <c r="AH82" i="5"/>
  <c r="AH95" i="5"/>
  <c r="AH128" i="5"/>
  <c r="AH19" i="5"/>
  <c r="AI5" i="5" s="1"/>
  <c r="AI6" i="5" s="1"/>
  <c r="AH151" i="5"/>
  <c r="AI151" i="5" s="1"/>
  <c r="AH112" i="5"/>
  <c r="AH26" i="5"/>
  <c r="AH72" i="5"/>
  <c r="AH44" i="5"/>
  <c r="AH59" i="5"/>
  <c r="AI59" i="5" s="1"/>
  <c r="AH66" i="5"/>
  <c r="AH43" i="5"/>
  <c r="AH113" i="5"/>
  <c r="AH89" i="5"/>
  <c r="AH105" i="5"/>
  <c r="AH157" i="5"/>
  <c r="AI157" i="5" s="1"/>
  <c r="AH36" i="5"/>
  <c r="AH163" i="5"/>
  <c r="AI163" i="5" s="1"/>
  <c r="AH118" i="5"/>
  <c r="AH106" i="5"/>
  <c r="AG106" i="5" s="1"/>
  <c r="AH85" i="5"/>
  <c r="AG85" i="5" s="1"/>
  <c r="AH84" i="5"/>
  <c r="AG84" i="5" s="1"/>
  <c r="AH108" i="5"/>
  <c r="AG108" i="5" s="1"/>
  <c r="AH107" i="5"/>
  <c r="AG107" i="5" s="1"/>
  <c r="AH77" i="5"/>
  <c r="AG77" i="5" s="1"/>
  <c r="X19" i="5"/>
  <c r="AE106" i="5"/>
  <c r="AD106" i="5" s="1"/>
  <c r="AE84" i="5"/>
  <c r="AD84" i="5" s="1"/>
  <c r="AE108" i="5"/>
  <c r="AD108" i="5" s="1"/>
  <c r="AE85" i="5"/>
  <c r="AD85" i="5" s="1"/>
  <c r="AE37" i="5"/>
  <c r="AD37" i="5" s="1"/>
  <c r="AE32" i="5"/>
  <c r="AD32" i="5" s="1"/>
  <c r="AE107" i="5"/>
  <c r="AD107" i="5" s="1"/>
  <c r="AE126" i="5"/>
  <c r="AD126" i="5" s="1"/>
  <c r="AE125" i="5"/>
  <c r="AD125" i="5" s="1"/>
  <c r="AE102" i="5"/>
  <c r="AD102" i="5" s="1"/>
  <c r="AC67" i="3"/>
  <c r="AE44" i="5"/>
  <c r="AE113" i="5"/>
  <c r="AE90" i="5"/>
  <c r="AE151" i="5"/>
  <c r="AE89" i="5"/>
  <c r="AE72" i="5"/>
  <c r="AE157" i="5"/>
  <c r="AF157" i="5" s="1"/>
  <c r="AE20" i="5"/>
  <c r="AE118" i="5"/>
  <c r="AE128" i="5"/>
  <c r="AE49" i="5"/>
  <c r="AE95" i="5"/>
  <c r="AE26" i="5"/>
  <c r="AE43" i="5"/>
  <c r="AE105" i="5"/>
  <c r="AE21" i="5"/>
  <c r="AE66" i="5"/>
  <c r="AE145" i="5"/>
  <c r="AE163" i="5"/>
  <c r="AF163" i="5" s="1"/>
  <c r="AE59" i="5"/>
  <c r="AF59" i="5" s="1"/>
  <c r="AE82" i="5"/>
  <c r="AH53" i="5"/>
  <c r="AG53" i="5" s="1"/>
  <c r="AH50" i="5"/>
  <c r="AG50" i="5" s="1"/>
  <c r="AD128" i="5"/>
  <c r="AA19" i="5" l="1"/>
  <c r="AC13" i="5" s="1"/>
  <c r="J10" i="10" s="1"/>
  <c r="AE67" i="5"/>
  <c r="AE36" i="5"/>
  <c r="AE112" i="5"/>
  <c r="AD151" i="5"/>
  <c r="AF151" i="5" s="1"/>
  <c r="AE75" i="5"/>
  <c r="AD75" i="5" s="1"/>
  <c r="AE39" i="5"/>
  <c r="AD39" i="5" s="1"/>
  <c r="AD36" i="5" s="1"/>
  <c r="AE35" i="5"/>
  <c r="AD35" i="5" s="1"/>
  <c r="AD88" i="3"/>
  <c r="P55" i="4" s="1"/>
  <c r="AH73" i="5" s="1"/>
  <c r="AG73" i="5" s="1"/>
  <c r="AE22" i="5"/>
  <c r="AD22" i="5" s="1"/>
  <c r="AE57" i="5"/>
  <c r="AD57" i="5" s="1"/>
  <c r="AD49" i="5" s="1"/>
  <c r="AD43" i="5" s="1"/>
  <c r="AF43" i="5" s="1"/>
  <c r="AE79" i="5"/>
  <c r="AD79" i="5" s="1"/>
  <c r="AE123" i="5"/>
  <c r="AD123" i="5" s="1"/>
  <c r="AE93" i="3"/>
  <c r="AE33" i="5"/>
  <c r="AD33" i="5" s="1"/>
  <c r="AE121" i="5"/>
  <c r="AD121" i="5" s="1"/>
  <c r="P57" i="4"/>
  <c r="AH69" i="5" s="1"/>
  <c r="AG69" i="5" s="1"/>
  <c r="AE90" i="3"/>
  <c r="AC88" i="3"/>
  <c r="AH13" i="3"/>
  <c r="D9" i="10"/>
  <c r="Z12" i="5"/>
  <c r="I9" i="10" s="1"/>
  <c r="Z7" i="5"/>
  <c r="Z8" i="5" s="1"/>
  <c r="Z13" i="5"/>
  <c r="J9" i="10" s="1"/>
  <c r="BX8" i="9"/>
  <c r="AH15" i="3"/>
  <c r="AH16" i="3"/>
  <c r="AH21" i="3"/>
  <c r="AH18" i="3"/>
  <c r="AH17" i="3"/>
  <c r="AH14" i="3"/>
  <c r="AH19" i="3"/>
  <c r="AH22" i="3"/>
  <c r="AH23" i="3"/>
  <c r="AF145" i="5"/>
  <c r="AH24" i="3"/>
  <c r="AH12" i="3"/>
  <c r="AH55" i="5"/>
  <c r="AG55" i="5" s="1"/>
  <c r="Z19" i="5"/>
  <c r="AI113" i="5"/>
  <c r="AG82" i="5"/>
  <c r="AI82" i="5" s="1"/>
  <c r="AI44" i="5"/>
  <c r="AG21" i="5"/>
  <c r="AI21" i="5" s="1"/>
  <c r="AI128" i="5"/>
  <c r="AH97" i="5"/>
  <c r="AG97" i="5" s="1"/>
  <c r="AH28" i="5"/>
  <c r="AG28" i="5" s="1"/>
  <c r="AH94" i="5"/>
  <c r="AG94" i="5" s="1"/>
  <c r="AG90" i="5" s="1"/>
  <c r="AH120" i="5"/>
  <c r="AG120" i="5" s="1"/>
  <c r="AG118" i="5" s="1"/>
  <c r="AH71" i="5"/>
  <c r="AG71" i="5" s="1"/>
  <c r="AI36" i="5"/>
  <c r="AH31" i="5"/>
  <c r="AG31" i="5" s="1"/>
  <c r="AH34" i="5"/>
  <c r="AG34" i="5" s="1"/>
  <c r="AH103" i="5"/>
  <c r="AG103" i="5" s="1"/>
  <c r="AH100" i="5"/>
  <c r="AG100" i="5" s="1"/>
  <c r="AH98" i="5"/>
  <c r="AG98" i="5" s="1"/>
  <c r="AH104" i="5"/>
  <c r="AG104" i="5" s="1"/>
  <c r="AH29" i="5"/>
  <c r="AG29" i="5" s="1"/>
  <c r="AF113" i="5"/>
  <c r="AG105" i="5"/>
  <c r="AI105" i="5" s="1"/>
  <c r="AF128" i="5"/>
  <c r="AH75" i="5"/>
  <c r="AG75" i="5" s="1"/>
  <c r="AK70" i="5"/>
  <c r="AJ70" i="5" s="1"/>
  <c r="AF44" i="5"/>
  <c r="AD105" i="5"/>
  <c r="AF105" i="5" s="1"/>
  <c r="AD82" i="5"/>
  <c r="AF82" i="5" s="1"/>
  <c r="AE25" i="5"/>
  <c r="AD25" i="5" s="1"/>
  <c r="AE97" i="5"/>
  <c r="AD97" i="5" s="1"/>
  <c r="AE28" i="5"/>
  <c r="AD28" i="5" s="1"/>
  <c r="AE71" i="5"/>
  <c r="AD71" i="5" s="1"/>
  <c r="AD67" i="5" s="1"/>
  <c r="AE74" i="5"/>
  <c r="AD74" i="5" s="1"/>
  <c r="AE94" i="5"/>
  <c r="AD94" i="5" s="1"/>
  <c r="AD90" i="5" s="1"/>
  <c r="AE120" i="5"/>
  <c r="AD120" i="5" s="1"/>
  <c r="AH52" i="5"/>
  <c r="AG52" i="5" s="1"/>
  <c r="AH80" i="5"/>
  <c r="AG80" i="5" s="1"/>
  <c r="AE100" i="5"/>
  <c r="AD100" i="5" s="1"/>
  <c r="AE34" i="5"/>
  <c r="AD34" i="5" s="1"/>
  <c r="AE31" i="5"/>
  <c r="AD31" i="5" s="1"/>
  <c r="AE103" i="5"/>
  <c r="AD103" i="5" s="1"/>
  <c r="AE98" i="5"/>
  <c r="AD98" i="5" s="1"/>
  <c r="AE104" i="5"/>
  <c r="AD104" i="5" s="1"/>
  <c r="AE29" i="5"/>
  <c r="AD29" i="5" s="1"/>
  <c r="AF36" i="5" l="1"/>
  <c r="AC19" i="5"/>
  <c r="D10" i="10"/>
  <c r="AC7" i="5"/>
  <c r="AC8" i="5" s="1"/>
  <c r="E10" i="10" s="1"/>
  <c r="F10" i="10" s="1"/>
  <c r="AC12" i="5"/>
  <c r="I10" i="10" s="1"/>
  <c r="AI61" i="3"/>
  <c r="AI62" i="3"/>
  <c r="AI63" i="3"/>
  <c r="AD21" i="5"/>
  <c r="AF21" i="5" s="1"/>
  <c r="AH74" i="5"/>
  <c r="AG74" i="5" s="1"/>
  <c r="AG72" i="5" s="1"/>
  <c r="AE88" i="3"/>
  <c r="AD72" i="5"/>
  <c r="AF72" i="5" s="1"/>
  <c r="R7" i="4"/>
  <c r="AD118" i="5"/>
  <c r="AF118" i="5" s="1"/>
  <c r="AH68" i="5"/>
  <c r="AG68" i="5" s="1"/>
  <c r="AG67" i="5" s="1"/>
  <c r="AI67" i="5" s="1"/>
  <c r="AC9" i="5"/>
  <c r="AC11" i="5" s="1"/>
  <c r="G10" i="10" s="1"/>
  <c r="H10" i="10" s="1"/>
  <c r="Z9" i="5"/>
  <c r="Z11" i="5" s="1"/>
  <c r="G9" i="10" s="1"/>
  <c r="E9" i="10"/>
  <c r="R6" i="4"/>
  <c r="AG49" i="5"/>
  <c r="AI49" i="5" s="1"/>
  <c r="AH10" i="3"/>
  <c r="AH90" i="3" s="1"/>
  <c r="R57" i="4" s="1"/>
  <c r="AK69" i="5" s="1"/>
  <c r="AJ69" i="5" s="1"/>
  <c r="R5" i="4"/>
  <c r="R8" i="4"/>
  <c r="AK116" i="5" s="1"/>
  <c r="AJ116" i="5" s="1"/>
  <c r="AF49" i="5"/>
  <c r="AK93" i="5"/>
  <c r="AJ93" i="5" s="1"/>
  <c r="AI118" i="5"/>
  <c r="AG112" i="5"/>
  <c r="AI112" i="5" s="1"/>
  <c r="AI90" i="5"/>
  <c r="AG26" i="5"/>
  <c r="AG95" i="5"/>
  <c r="AI95" i="5" s="1"/>
  <c r="AK47" i="5"/>
  <c r="AJ47" i="5" s="1"/>
  <c r="AK24" i="5"/>
  <c r="AJ24" i="5" s="1"/>
  <c r="AF67" i="5"/>
  <c r="AD26" i="5"/>
  <c r="AF26" i="5" s="1"/>
  <c r="AF90" i="5"/>
  <c r="AD95" i="5"/>
  <c r="AF95" i="5" s="1"/>
  <c r="AK158" i="5"/>
  <c r="AJ158" i="5" s="1"/>
  <c r="AK114" i="5"/>
  <c r="AJ114" i="5" s="1"/>
  <c r="AD112" i="5" l="1"/>
  <c r="AF112" i="5" s="1"/>
  <c r="AD66" i="5"/>
  <c r="AF66" i="5" s="1"/>
  <c r="F9" i="10"/>
  <c r="H9" i="10"/>
  <c r="AI59" i="3"/>
  <c r="AH69" i="3"/>
  <c r="R38" i="4" s="1"/>
  <c r="R36" i="4" s="1"/>
  <c r="AK58" i="5" s="1"/>
  <c r="AJ58" i="5" s="1"/>
  <c r="AI68" i="3"/>
  <c r="AH94" i="3"/>
  <c r="R61" i="4" s="1"/>
  <c r="AK81" i="5" s="1"/>
  <c r="AJ81" i="5" s="1"/>
  <c r="AH93" i="3"/>
  <c r="R60" i="4" s="1"/>
  <c r="AK101" i="5" s="1"/>
  <c r="AJ101" i="5" s="1"/>
  <c r="AI89" i="3"/>
  <c r="AI60" i="3"/>
  <c r="AH91" i="3"/>
  <c r="R58" i="4" s="1"/>
  <c r="AK83" i="5" s="1"/>
  <c r="AJ83" i="5" s="1"/>
  <c r="AI75" i="3"/>
  <c r="AI72" i="3"/>
  <c r="AI58" i="3"/>
  <c r="AI71" i="3"/>
  <c r="AI92" i="3"/>
  <c r="AI70" i="3"/>
  <c r="AG43" i="5"/>
  <c r="AI43" i="5" s="1"/>
  <c r="R9" i="4"/>
  <c r="R4" i="4"/>
  <c r="AI16" i="3"/>
  <c r="AI26" i="3"/>
  <c r="AI18" i="3"/>
  <c r="AH8" i="3"/>
  <c r="AI13" i="3"/>
  <c r="AI29" i="3"/>
  <c r="AI21" i="3"/>
  <c r="AI24" i="3"/>
  <c r="AI28" i="3"/>
  <c r="AI23" i="3"/>
  <c r="AI12" i="3"/>
  <c r="AI30" i="3"/>
  <c r="AI20" i="3"/>
  <c r="AI27" i="3"/>
  <c r="AI15" i="3"/>
  <c r="AI14" i="3"/>
  <c r="AI22" i="3"/>
  <c r="AI17" i="3"/>
  <c r="AI31" i="3"/>
  <c r="AI19" i="3"/>
  <c r="AK38" i="5"/>
  <c r="AJ38" i="5" s="1"/>
  <c r="AG66" i="5"/>
  <c r="AI66" i="5" s="1"/>
  <c r="AI90" i="3"/>
  <c r="AI72" i="5"/>
  <c r="AG89" i="5"/>
  <c r="AI89" i="5" s="1"/>
  <c r="AI26" i="5"/>
  <c r="AG20" i="5"/>
  <c r="AI20" i="5" s="1"/>
  <c r="AK91" i="5"/>
  <c r="AJ91" i="5" s="1"/>
  <c r="AK68" i="5"/>
  <c r="AJ68" i="5" s="1"/>
  <c r="AK45" i="5"/>
  <c r="AJ45" i="5" s="1"/>
  <c r="AD89" i="5"/>
  <c r="AF89" i="5" s="1"/>
  <c r="AK51" i="5"/>
  <c r="AJ51" i="5" s="1"/>
  <c r="AK96" i="5"/>
  <c r="AJ96" i="5" s="1"/>
  <c r="AK159" i="5"/>
  <c r="AJ159" i="5" s="1"/>
  <c r="AJ157" i="5" s="1"/>
  <c r="AK131" i="5"/>
  <c r="AJ131" i="5" s="1"/>
  <c r="AK27" i="5"/>
  <c r="AJ27" i="5" s="1"/>
  <c r="AK119" i="5"/>
  <c r="AJ119" i="5" s="1"/>
  <c r="AK130" i="5"/>
  <c r="AJ130" i="5" s="1"/>
  <c r="AD20" i="5"/>
  <c r="AK48" i="5"/>
  <c r="AJ48" i="5" s="1"/>
  <c r="AK77" i="5"/>
  <c r="AJ77" i="5" s="1"/>
  <c r="AI93" i="3" l="1"/>
  <c r="AI69" i="3"/>
  <c r="AK22" i="5"/>
  <c r="AJ22" i="5" s="1"/>
  <c r="AK57" i="5"/>
  <c r="AJ57" i="5" s="1"/>
  <c r="AI94" i="3"/>
  <c r="AK75" i="5"/>
  <c r="AJ75" i="5" s="1"/>
  <c r="AI91" i="3"/>
  <c r="AH88" i="3"/>
  <c r="R55" i="4" s="1"/>
  <c r="AK73" i="5" s="1"/>
  <c r="AJ73" i="5" s="1"/>
  <c r="AK80" i="5"/>
  <c r="AJ80" i="5" s="1"/>
  <c r="AJ128" i="5"/>
  <c r="R42" i="4"/>
  <c r="R39" i="4" s="1"/>
  <c r="AH67" i="3"/>
  <c r="R35" i="4" s="1"/>
  <c r="AK52" i="5" s="1"/>
  <c r="AJ52" i="5" s="1"/>
  <c r="R3" i="4"/>
  <c r="AK117" i="5" s="1"/>
  <c r="AJ117" i="5" s="1"/>
  <c r="AJ113" i="5" s="1"/>
  <c r="AI10" i="3"/>
  <c r="AI33" i="3"/>
  <c r="AK148" i="5"/>
  <c r="AJ148" i="5" s="1"/>
  <c r="AK152" i="5"/>
  <c r="AJ152" i="5" s="1"/>
  <c r="AK154" i="5"/>
  <c r="AJ154" i="5" s="1"/>
  <c r="R63" i="4"/>
  <c r="AK128" i="5" s="1"/>
  <c r="AK153" i="5"/>
  <c r="AJ153" i="5" s="1"/>
  <c r="AK146" i="5"/>
  <c r="AJ146" i="5" s="1"/>
  <c r="AK147" i="5"/>
  <c r="AJ147" i="5" s="1"/>
  <c r="AK122" i="5"/>
  <c r="AJ122" i="5" s="1"/>
  <c r="AG19" i="5"/>
  <c r="AJ44" i="5"/>
  <c r="AK123" i="5"/>
  <c r="AJ123" i="5" s="1"/>
  <c r="AK126" i="5"/>
  <c r="AJ126" i="5" s="1"/>
  <c r="AK102" i="5"/>
  <c r="AJ102" i="5" s="1"/>
  <c r="AK125" i="5"/>
  <c r="AJ125" i="5" s="1"/>
  <c r="AK84" i="5"/>
  <c r="AJ84" i="5" s="1"/>
  <c r="AK107" i="5"/>
  <c r="AJ107" i="5" s="1"/>
  <c r="AK37" i="5"/>
  <c r="AJ37" i="5" s="1"/>
  <c r="AK85" i="5"/>
  <c r="AJ85" i="5" s="1"/>
  <c r="AK108" i="5"/>
  <c r="AJ108" i="5" s="1"/>
  <c r="AK39" i="5"/>
  <c r="AJ39" i="5" s="1"/>
  <c r="AK32" i="5"/>
  <c r="AJ32" i="5" s="1"/>
  <c r="AK106" i="5"/>
  <c r="AJ106" i="5" s="1"/>
  <c r="AD19" i="5"/>
  <c r="AF20" i="5"/>
  <c r="AK35" i="5"/>
  <c r="AJ35" i="5" s="1"/>
  <c r="AK55" i="5"/>
  <c r="AJ55" i="5" s="1"/>
  <c r="AK53" i="5"/>
  <c r="AJ53" i="5" s="1"/>
  <c r="AK50" i="5"/>
  <c r="AJ50" i="5" s="1"/>
  <c r="AI12" i="5" l="1"/>
  <c r="I12" i="10" s="1"/>
  <c r="D12" i="10"/>
  <c r="D11" i="10"/>
  <c r="AF12" i="5"/>
  <c r="I11" i="10" s="1"/>
  <c r="AF7" i="5"/>
  <c r="AF8" i="5" s="1"/>
  <c r="AF13" i="5"/>
  <c r="J11" i="10" s="1"/>
  <c r="AI7" i="5"/>
  <c r="AI8" i="5" s="1"/>
  <c r="AI13" i="5"/>
  <c r="J12" i="10" s="1"/>
  <c r="AK33" i="5"/>
  <c r="AJ33" i="5" s="1"/>
  <c r="AI88" i="3"/>
  <c r="AI67" i="3"/>
  <c r="AK36" i="5"/>
  <c r="AK79" i="5"/>
  <c r="AJ79" i="5" s="1"/>
  <c r="AL128" i="5"/>
  <c r="AK59" i="5"/>
  <c r="AL59" i="5" s="1"/>
  <c r="AK95" i="5"/>
  <c r="AK151" i="5"/>
  <c r="AK113" i="5"/>
  <c r="AL113" i="5" s="1"/>
  <c r="AK20" i="5"/>
  <c r="AK121" i="5"/>
  <c r="AJ121" i="5" s="1"/>
  <c r="AK26" i="5"/>
  <c r="AK43" i="5"/>
  <c r="AK157" i="5"/>
  <c r="AL157" i="5" s="1"/>
  <c r="AK21" i="5"/>
  <c r="AK163" i="5"/>
  <c r="AL163" i="5" s="1"/>
  <c r="AJ151" i="5"/>
  <c r="AK90" i="5"/>
  <c r="AK72" i="5"/>
  <c r="AK66" i="5"/>
  <c r="AK44" i="5"/>
  <c r="AL44" i="5" s="1"/>
  <c r="AK82" i="5"/>
  <c r="AK112" i="5"/>
  <c r="AK67" i="5"/>
  <c r="AK145" i="5"/>
  <c r="AK89" i="5"/>
  <c r="AK19" i="5"/>
  <c r="AL5" i="5" s="1"/>
  <c r="AL6" i="5" s="1"/>
  <c r="AJ145" i="5"/>
  <c r="AK118" i="5"/>
  <c r="AK49" i="5"/>
  <c r="AK105" i="5"/>
  <c r="AI19" i="5"/>
  <c r="AJ49" i="5"/>
  <c r="AK104" i="5"/>
  <c r="AJ104" i="5" s="1"/>
  <c r="AK29" i="5"/>
  <c r="AJ29" i="5" s="1"/>
  <c r="AK98" i="5"/>
  <c r="AJ98" i="5" s="1"/>
  <c r="AK97" i="5"/>
  <c r="AJ97" i="5" s="1"/>
  <c r="AK25" i="5"/>
  <c r="AJ25" i="5" s="1"/>
  <c r="AJ21" i="5" s="1"/>
  <c r="AK74" i="5"/>
  <c r="AJ74" i="5" s="1"/>
  <c r="AK28" i="5"/>
  <c r="AJ28" i="5" s="1"/>
  <c r="AK120" i="5"/>
  <c r="AJ120" i="5" s="1"/>
  <c r="AK71" i="5"/>
  <c r="AJ71" i="5" s="1"/>
  <c r="AJ67" i="5" s="1"/>
  <c r="AK94" i="5"/>
  <c r="AJ94" i="5" s="1"/>
  <c r="AJ90" i="5" s="1"/>
  <c r="AJ82" i="5"/>
  <c r="AJ105" i="5"/>
  <c r="AK100" i="5"/>
  <c r="AJ100" i="5" s="1"/>
  <c r="AK103" i="5"/>
  <c r="AJ103" i="5" s="1"/>
  <c r="AK34" i="5"/>
  <c r="AJ34" i="5" s="1"/>
  <c r="AK31" i="5"/>
  <c r="AJ31" i="5" s="1"/>
  <c r="AF19" i="5"/>
  <c r="AJ36" i="5"/>
  <c r="AL49" i="5" l="1"/>
  <c r="AL105" i="5"/>
  <c r="AI9" i="5"/>
  <c r="AI11" i="5" s="1"/>
  <c r="G12" i="10" s="1"/>
  <c r="H12" i="10" s="1"/>
  <c r="E12" i="10"/>
  <c r="F12" i="10" s="1"/>
  <c r="AF9" i="5"/>
  <c r="AF11" i="5" s="1"/>
  <c r="G11" i="10" s="1"/>
  <c r="E11" i="10"/>
  <c r="AJ72" i="5"/>
  <c r="AL72" i="5" s="1"/>
  <c r="AJ118" i="5"/>
  <c r="AL118" i="5" s="1"/>
  <c r="AL36" i="5"/>
  <c r="AL145" i="5"/>
  <c r="AL151" i="5"/>
  <c r="AL82" i="5"/>
  <c r="AJ43" i="5"/>
  <c r="AL43" i="5" s="1"/>
  <c r="AJ26" i="5"/>
  <c r="AL26" i="5" s="1"/>
  <c r="AL90" i="5"/>
  <c r="AL67" i="5"/>
  <c r="AL21" i="5"/>
  <c r="AJ95" i="5"/>
  <c r="AL95" i="5" s="1"/>
  <c r="AJ66" i="5" l="1"/>
  <c r="AL66" i="5" s="1"/>
  <c r="F11" i="10"/>
  <c r="H11" i="10"/>
  <c r="AJ112" i="5"/>
  <c r="AL112" i="5" s="1"/>
  <c r="AJ20" i="5"/>
  <c r="AJ89" i="5"/>
  <c r="AL89" i="5" s="1"/>
  <c r="AJ19" i="5" l="1"/>
  <c r="AL20" i="5"/>
  <c r="D13" i="10" l="1"/>
  <c r="AL12" i="5"/>
  <c r="I13" i="10" s="1"/>
  <c r="AL7" i="5"/>
  <c r="AL8" i="5" s="1"/>
  <c r="AL13" i="5"/>
  <c r="J13" i="10" s="1"/>
  <c r="AL19" i="5"/>
  <c r="AL9" i="5" l="1"/>
  <c r="AL11" i="5" s="1"/>
  <c r="G13" i="10" s="1"/>
  <c r="E13" i="10"/>
  <c r="I15" i="10" a="1"/>
  <c r="I15" i="10" s="1"/>
  <c r="I22" i="10" s="1"/>
  <c r="I17" i="10" a="1"/>
  <c r="I17" i="10" s="1"/>
  <c r="I23" i="10" s="1"/>
  <c r="I21" i="10" a="1"/>
  <c r="I21" i="10" s="1"/>
  <c r="I25" i="10" s="1"/>
  <c r="I19" i="10" a="1"/>
  <c r="I19" i="10" s="1"/>
  <c r="I24" i="10" s="1"/>
  <c r="J21" i="10" a="1"/>
  <c r="J21" i="10" s="1"/>
  <c r="J25" i="10" s="1"/>
  <c r="J19" i="10" a="1"/>
  <c r="J19" i="10" s="1"/>
  <c r="J24" i="10" s="1"/>
  <c r="J15" i="10" a="1"/>
  <c r="J15" i="10" s="1"/>
  <c r="J22" i="10" s="1"/>
  <c r="J17" i="10" a="1"/>
  <c r="J17" i="10" s="1"/>
  <c r="J23" i="10" s="1"/>
  <c r="D19" i="10" a="1"/>
  <c r="D19" i="10" s="1"/>
  <c r="D24" i="10" s="1"/>
  <c r="D17" i="10" a="1"/>
  <c r="D17" i="10" s="1"/>
  <c r="D23" i="10" s="1"/>
  <c r="D21" i="10" a="1"/>
  <c r="D21" i="10" s="1"/>
  <c r="D25" i="10" s="1"/>
  <c r="D15" i="10" a="1"/>
  <c r="D15" i="10" s="1"/>
  <c r="D22" i="10" s="1"/>
  <c r="I26" i="10" l="1"/>
  <c r="J26" i="10"/>
  <c r="D27" i="10"/>
  <c r="I27" i="10"/>
  <c r="D26" i="10"/>
  <c r="J27" i="10"/>
  <c r="F13" i="10"/>
  <c r="E21" i="10" a="1"/>
  <c r="E21" i="10" s="1"/>
  <c r="E25" i="10" s="1"/>
  <c r="E19" i="10" a="1"/>
  <c r="E19" i="10" s="1"/>
  <c r="E24" i="10" s="1"/>
  <c r="E15" i="10" a="1"/>
  <c r="E15" i="10" s="1"/>
  <c r="E22" i="10" s="1"/>
  <c r="E17" i="10" a="1"/>
  <c r="E17" i="10" s="1"/>
  <c r="E23" i="10" s="1"/>
  <c r="H13" i="10"/>
  <c r="G19" i="10" a="1"/>
  <c r="G19" i="10" s="1"/>
  <c r="G24" i="10" s="1"/>
  <c r="G15" i="10" a="1"/>
  <c r="G15" i="10" s="1"/>
  <c r="G22" i="10" s="1"/>
  <c r="G21" i="10" a="1"/>
  <c r="G21" i="10" s="1"/>
  <c r="G25" i="10" s="1"/>
  <c r="G17" i="10" a="1"/>
  <c r="G17" i="10" s="1"/>
  <c r="G23" i="10" s="1"/>
  <c r="E27" i="10" l="1"/>
  <c r="G26" i="10"/>
  <c r="E26" i="10"/>
  <c r="G27" i="10"/>
  <c r="H19" i="10" a="1"/>
  <c r="H19" i="10" s="1"/>
  <c r="H24" i="10" s="1"/>
  <c r="H15" i="10" a="1"/>
  <c r="H15" i="10" s="1"/>
  <c r="H22" i="10" s="1"/>
  <c r="H17" i="10" a="1"/>
  <c r="H17" i="10" s="1"/>
  <c r="H23" i="10" s="1"/>
  <c r="H21" i="10" a="1"/>
  <c r="H21" i="10" s="1"/>
  <c r="H25" i="10" s="1"/>
  <c r="F21" i="10" a="1"/>
  <c r="F21" i="10" s="1"/>
  <c r="F25" i="10" s="1"/>
  <c r="F15" i="10" a="1"/>
  <c r="F15" i="10" s="1"/>
  <c r="F22" i="10" s="1"/>
  <c r="F17" i="10" a="1"/>
  <c r="F17" i="10" s="1"/>
  <c r="F23" i="10" s="1"/>
  <c r="F19" i="10" a="1"/>
  <c r="F19" i="10" s="1"/>
  <c r="F24" i="10" s="1"/>
  <c r="F26" i="10" l="1"/>
  <c r="H26" i="10"/>
  <c r="F27" i="10"/>
  <c r="H27" i="10"/>
</calcChain>
</file>

<file path=xl/sharedStrings.xml><?xml version="1.0" encoding="utf-8"?>
<sst xmlns="http://schemas.openxmlformats.org/spreadsheetml/2006/main" count="1789" uniqueCount="571">
  <si>
    <t>Instructional Programs Outside the Established School Day 1450</t>
  </si>
  <si>
    <t>Additional Other Instruction Programs 1490</t>
  </si>
  <si>
    <t>Nonpublic School Programs 1500</t>
  </si>
  <si>
    <t>Adult Education Programs 1600</t>
  </si>
  <si>
    <t>Community / Junior College Education Programs 1700</t>
  </si>
  <si>
    <t>Pre-Kindergarten 1800</t>
  </si>
  <si>
    <t>Pre-K Instruction 1801</t>
  </si>
  <si>
    <t>Pre-K Administrative Support 1802</t>
  </si>
  <si>
    <t>Pre-K Operations and Maintenance 1803</t>
  </si>
  <si>
    <t>Pre-K Student Transportation 1804</t>
  </si>
  <si>
    <t>Pre-K Food Services 1805</t>
  </si>
  <si>
    <t>Pre-K Professional Development 1806</t>
  </si>
  <si>
    <t>Pre-K Pass Through Funds (Partners) 1807</t>
  </si>
  <si>
    <t>Support Services 2000</t>
  </si>
  <si>
    <t>Pupil Personnel
2100</t>
  </si>
  <si>
    <t>Supervision Of Pupil Personnel Services 2110</t>
  </si>
  <si>
    <t>Guidance Services 2120</t>
  </si>
  <si>
    <t>Attendance Services 2130</t>
  </si>
  <si>
    <t>Psychological Services 2140</t>
  </si>
  <si>
    <t>Speech Pathology and Audiology Services 2150</t>
  </si>
  <si>
    <t>Social Work Services 2160</t>
  </si>
  <si>
    <t>Student Accounting Services 2170</t>
  </si>
  <si>
    <t>Other Pupil Personnel Services 2190</t>
  </si>
  <si>
    <t>Instructional Staff 2200</t>
  </si>
  <si>
    <t>School Library Services 2250</t>
  </si>
  <si>
    <t>NonPublic Support Services 2280</t>
  </si>
  <si>
    <t>Administration 2300</t>
  </si>
  <si>
    <t>Board Services 2310</t>
  </si>
  <si>
    <t>Board Treasurer Services 2320</t>
  </si>
  <si>
    <t>Tax Assessment and Collection Services 2330</t>
  </si>
  <si>
    <t>Staff Relations and Negotiations Services 2340</t>
  </si>
  <si>
    <t>Legal Services 2350</t>
  </si>
  <si>
    <t>Office Of The Superintendent (Executive Director)  2360</t>
  </si>
  <si>
    <t>Community Relations Services 2370</t>
  </si>
  <si>
    <t>Office Of The Principal Services 2380</t>
  </si>
  <si>
    <t>Other Administration Services 2390</t>
  </si>
  <si>
    <t>Pupil Health 2400</t>
  </si>
  <si>
    <t>Nonpublic Health Services 2450</t>
  </si>
  <si>
    <t>Business 2500</t>
  </si>
  <si>
    <t>Operation &amp; Maintenance of Plant Services 2600</t>
  </si>
  <si>
    <t>Student Transportation Services 2700</t>
  </si>
  <si>
    <t>Nonpublic Transportation 2750</t>
  </si>
  <si>
    <t>Central 2800</t>
  </si>
  <si>
    <t>Other Support Services 2900</t>
  </si>
  <si>
    <t>Operation of Noninstructional Services 3000</t>
  </si>
  <si>
    <t>Food Services 3100</t>
  </si>
  <si>
    <t>Student Activities 3200</t>
  </si>
  <si>
    <t>Community Services 3300</t>
  </si>
  <si>
    <t>Scholarships and Awards 3400</t>
  </si>
  <si>
    <t>Facilities Acquisition, Construction and Improvement 4000</t>
  </si>
  <si>
    <t>Acquisition Services - Original &amp; Additional 4100</t>
  </si>
  <si>
    <t>Existing Site Improvement Services 4200</t>
  </si>
  <si>
    <t>Arch &amp; Eng Services / Ed Specs Development - Orig 4300</t>
  </si>
  <si>
    <t>Arch &amp; Eng Services / Ed Specs - Improvements 4400</t>
  </si>
  <si>
    <t>Building Acquisition &amp; Construction Services - Orig 4500</t>
  </si>
  <si>
    <t>Existing Building Improvement Services 4600</t>
  </si>
  <si>
    <t>Other Expenditures and Financing Uses 5000</t>
  </si>
  <si>
    <t>Debt Service, Other Expenditures, and Financing Uses 5100</t>
  </si>
  <si>
    <t>Debt Service 5110</t>
  </si>
  <si>
    <t>Payments to Refund Bond Escrow Agent 5120</t>
  </si>
  <si>
    <t>Refund of Prior Year Revenues / Receipts 5130</t>
  </si>
  <si>
    <t>Short Term Borrowing - Interest and Costs 5140</t>
  </si>
  <si>
    <t>Bond Discounts 5150</t>
  </si>
  <si>
    <t>Fund Transfers 5200</t>
  </si>
  <si>
    <t>Special Revenue Fund Transfers 5220</t>
  </si>
  <si>
    <t>Capital Projects Fund Transfers 5230</t>
  </si>
  <si>
    <t>Debt Service Fund Transfers (to sinking fund) 5240</t>
  </si>
  <si>
    <t>Enterprise Fund Transfers 5250</t>
  </si>
  <si>
    <t>Internal Service Fund Transfers 5260</t>
  </si>
  <si>
    <t>Trust and Agency Fund Transfers 5270</t>
  </si>
  <si>
    <t>Activity Fund Transfers 5280</t>
  </si>
  <si>
    <t>Permanent Fund Transfers 5290</t>
  </si>
  <si>
    <t>Transfers Involving Component Units 5300</t>
  </si>
  <si>
    <t>Transfers to Component Units 5310</t>
  </si>
  <si>
    <t>Transfers to Primary Governments 5320</t>
  </si>
  <si>
    <t>Special Items-Losses 5520</t>
  </si>
  <si>
    <t>Extraordinary Items-Losses 5530</t>
  </si>
  <si>
    <t>Enrollment</t>
  </si>
  <si>
    <t>Cost Driver</t>
  </si>
  <si>
    <t>Principals</t>
  </si>
  <si>
    <t>Asst. Principals</t>
  </si>
  <si>
    <t>COST DRIVER</t>
  </si>
  <si>
    <t>DISTRICT:</t>
  </si>
  <si>
    <t>ENROLLMENT</t>
  </si>
  <si>
    <t>PERSONNEL</t>
  </si>
  <si>
    <t>CURRENT (2015-16)</t>
  </si>
  <si>
    <t>Scenario 1</t>
  </si>
  <si>
    <t>Scenario 2</t>
  </si>
  <si>
    <t>Scenario 3</t>
  </si>
  <si>
    <t>English Learners</t>
  </si>
  <si>
    <t>INFRASTRUCTURE</t>
  </si>
  <si>
    <t>Elementary</t>
  </si>
  <si>
    <t>Middle</t>
  </si>
  <si>
    <t>None (Fixed)</t>
  </si>
  <si>
    <t>Code</t>
  </si>
  <si>
    <t>Personnel Services-Salaries</t>
  </si>
  <si>
    <t>1110-100</t>
  </si>
  <si>
    <t>1110-200</t>
  </si>
  <si>
    <t>1110-300</t>
  </si>
  <si>
    <t>1110-400</t>
  </si>
  <si>
    <t>1110-500</t>
  </si>
  <si>
    <t>1110-600</t>
  </si>
  <si>
    <t>1110-700</t>
  </si>
  <si>
    <t>1110-800</t>
  </si>
  <si>
    <t>1110-900</t>
  </si>
  <si>
    <t>INSTRUCTION</t>
  </si>
  <si>
    <t>Regular Programs</t>
  </si>
  <si>
    <t>Personnel Services-Benefits</t>
  </si>
  <si>
    <t>Purchased Professional and Technical Services</t>
  </si>
  <si>
    <t>Purchased Property Services</t>
  </si>
  <si>
    <t>Other Purchased Services</t>
  </si>
  <si>
    <t>Supplies</t>
  </si>
  <si>
    <t>Property</t>
  </si>
  <si>
    <t>Other Objects</t>
  </si>
  <si>
    <t>Other Uses of Funds</t>
  </si>
  <si>
    <t>Early Intervening Services</t>
  </si>
  <si>
    <t>Federally-Funded Regular Programs</t>
  </si>
  <si>
    <t>1140-100</t>
  </si>
  <si>
    <t>1140-200</t>
  </si>
  <si>
    <t>1140-300</t>
  </si>
  <si>
    <t>1140-400</t>
  </si>
  <si>
    <t>1140-500</t>
  </si>
  <si>
    <t>1140-600</t>
  </si>
  <si>
    <t>1140-700</t>
  </si>
  <si>
    <t>1140-800</t>
  </si>
  <si>
    <t>1140-900</t>
  </si>
  <si>
    <t>1110-110</t>
  </si>
  <si>
    <t>1110-120</t>
  </si>
  <si>
    <t>Official/Administrative</t>
  </si>
  <si>
    <t>Professional - Educational</t>
  </si>
  <si>
    <t>1110-130/190</t>
  </si>
  <si>
    <t>All Other</t>
  </si>
  <si>
    <t>Special and Gifted Education</t>
  </si>
  <si>
    <t>Academic Support</t>
  </si>
  <si>
    <t>Physical Support</t>
  </si>
  <si>
    <t>Multi-Handicapped Support</t>
  </si>
  <si>
    <t>Special Programs - Early Intervention Support</t>
  </si>
  <si>
    <t>Special Programs - Other Support</t>
  </si>
  <si>
    <t>1210/1230</t>
  </si>
  <si>
    <t>Life Skills, Sensory and Emotional Support</t>
  </si>
  <si>
    <t>12X0-100</t>
  </si>
  <si>
    <t>12X0-110</t>
  </si>
  <si>
    <t>12X0-120</t>
  </si>
  <si>
    <t>12X0-130/190</t>
  </si>
  <si>
    <t>12X0-200</t>
  </si>
  <si>
    <t>12X0-300</t>
  </si>
  <si>
    <t>12X0-400</t>
  </si>
  <si>
    <t>12X0-500</t>
  </si>
  <si>
    <t>12X0-600</t>
  </si>
  <si>
    <t>12X0-700</t>
  </si>
  <si>
    <t>12X0-800</t>
  </si>
  <si>
    <t>12X0-900</t>
  </si>
  <si>
    <t>1240-110</t>
  </si>
  <si>
    <t>1240-120</t>
  </si>
  <si>
    <t>1240-130/190</t>
  </si>
  <si>
    <t>1240-200</t>
  </si>
  <si>
    <t>1240-300</t>
  </si>
  <si>
    <t>1240-400</t>
  </si>
  <si>
    <t>1240-100</t>
  </si>
  <si>
    <t>1240-500</t>
  </si>
  <si>
    <t>1240-600</t>
  </si>
  <si>
    <t>1240-700</t>
  </si>
  <si>
    <t>1240-800</t>
  </si>
  <si>
    <t>1240-900</t>
  </si>
  <si>
    <t>Vocational Education Programs</t>
  </si>
  <si>
    <t>1300-100</t>
  </si>
  <si>
    <t>1300-110</t>
  </si>
  <si>
    <t>1300-120</t>
  </si>
  <si>
    <t>1300-130/190</t>
  </si>
  <si>
    <t>1300-200</t>
  </si>
  <si>
    <t>1300-600</t>
  </si>
  <si>
    <t>1300-700</t>
  </si>
  <si>
    <t>1300-800</t>
  </si>
  <si>
    <t>1300-900</t>
  </si>
  <si>
    <t>Other Instructional Programs - E/S</t>
  </si>
  <si>
    <t>Regular Programs - E/S</t>
  </si>
  <si>
    <t># Units</t>
  </si>
  <si>
    <t>Current</t>
  </si>
  <si>
    <t>Scenario 4</t>
  </si>
  <si>
    <t>Expenditure</t>
  </si>
  <si>
    <t>Cost/Unit</t>
  </si>
  <si>
    <t>1140-110</t>
  </si>
  <si>
    <t>1140-120</t>
  </si>
  <si>
    <t>1140-130/190</t>
  </si>
  <si>
    <t>Counselors</t>
  </si>
  <si>
    <t>Driver's Education</t>
  </si>
  <si>
    <t>Summer School</t>
  </si>
  <si>
    <t>Homebound Instruction</t>
  </si>
  <si>
    <t>Alternative Regular Education</t>
  </si>
  <si>
    <t>1300-300/500</t>
  </si>
  <si>
    <t>Purchased Services</t>
  </si>
  <si>
    <t>Fixed Cost ($)</t>
  </si>
  <si>
    <t>Variable Cost ($)</t>
  </si>
  <si>
    <t>Special Programs - E/S</t>
  </si>
  <si>
    <t>Function</t>
  </si>
  <si>
    <t>Object</t>
  </si>
  <si>
    <t>0000</t>
  </si>
  <si>
    <t>Vocational Education</t>
  </si>
  <si>
    <t>Support Services - Students</t>
  </si>
  <si>
    <t>Support Services - Instructional Staff</t>
  </si>
  <si>
    <t>Support Services - Administration</t>
  </si>
  <si>
    <t>Support Services - Pupil Health</t>
  </si>
  <si>
    <t>Support Services - Business</t>
  </si>
  <si>
    <t>Operation and Maintenance of Plant Services</t>
  </si>
  <si>
    <t>Student Transportation Services</t>
  </si>
  <si>
    <t>Support Services - Central</t>
  </si>
  <si>
    <t>Other Support Services</t>
  </si>
  <si>
    <t>Food Services</t>
  </si>
  <si>
    <t>Student Activities</t>
  </si>
  <si>
    <t>Community Services</t>
  </si>
  <si>
    <t>Scholarships and Awards</t>
  </si>
  <si>
    <t>CAPITAL EXPENDITURES</t>
  </si>
  <si>
    <t>DEBT SERVICE AND OTHER</t>
  </si>
  <si>
    <t>C-Level</t>
  </si>
  <si>
    <t>Other LEA-based</t>
  </si>
  <si>
    <t>Other School-based</t>
  </si>
  <si>
    <t>Students with Disabilities</t>
  </si>
  <si>
    <t>Var. Cost ($)</t>
  </si>
  <si>
    <t>Object Desc.</t>
  </si>
  <si>
    <t>Function Description</t>
  </si>
  <si>
    <t>Salaries - Official/Administrative</t>
  </si>
  <si>
    <t>Var. Cost/Unit</t>
  </si>
  <si>
    <t>TOTAL PUBLIC ENROLLMENT (TPE)</t>
  </si>
  <si>
    <t>% of TPE</t>
  </si>
  <si>
    <t># Loss</t>
  </si>
  <si>
    <t>ADMINISTRATORS (Obj. 110)</t>
  </si>
  <si>
    <t>PROF. - EDU (Obj. 120)</t>
  </si>
  <si>
    <t>OTHER PERS. (Objs. 130-190)</t>
  </si>
  <si>
    <t>130-190</t>
  </si>
  <si>
    <t>Salaries - Other</t>
  </si>
  <si>
    <t>Employee Benefits</t>
  </si>
  <si>
    <t>Secondary</t>
  </si>
  <si>
    <t>1400-1800</t>
  </si>
  <si>
    <t>Other Instructional Programs</t>
  </si>
  <si>
    <t>INSTRUCTION (All Subcategories)</t>
  </si>
  <si>
    <t>All Functions</t>
  </si>
  <si>
    <t>000</t>
  </si>
  <si>
    <t>SUPPORT SERVICES (All Subcategories)</t>
  </si>
  <si>
    <t>1000</t>
  </si>
  <si>
    <t>1100</t>
  </si>
  <si>
    <t>1200</t>
  </si>
  <si>
    <t>1300</t>
  </si>
  <si>
    <t>2000</t>
  </si>
  <si>
    <t>2100</t>
  </si>
  <si>
    <t>2200</t>
  </si>
  <si>
    <t>2300</t>
  </si>
  <si>
    <t>2400</t>
  </si>
  <si>
    <t>2500</t>
  </si>
  <si>
    <t>2600</t>
  </si>
  <si>
    <t>2800</t>
  </si>
  <si>
    <t>2700</t>
  </si>
  <si>
    <t>2900</t>
  </si>
  <si>
    <t>3000</t>
  </si>
  <si>
    <t>3100</t>
  </si>
  <si>
    <t>3200</t>
  </si>
  <si>
    <t>3300</t>
  </si>
  <si>
    <t>3400</t>
  </si>
  <si>
    <t>4000</t>
  </si>
  <si>
    <t>5000</t>
  </si>
  <si>
    <t>200</t>
  </si>
  <si>
    <t>600</t>
  </si>
  <si>
    <t>110</t>
  </si>
  <si>
    <t>700</t>
  </si>
  <si>
    <t>800</t>
  </si>
  <si>
    <t>900</t>
  </si>
  <si>
    <t>120</t>
  </si>
  <si>
    <t>Salaries - Professional - Educational</t>
  </si>
  <si>
    <t>ALL FUNCTIONS</t>
  </si>
  <si>
    <t>ALL OBJECTS</t>
  </si>
  <si>
    <t>OPERATION OF NON-INSTRUCTIONAL SERVICES (All Subcategories)</t>
  </si>
  <si>
    <t>Null (Subtotal)</t>
  </si>
  <si>
    <t>Fixed %</t>
  </si>
  <si>
    <t>Var. %</t>
  </si>
  <si>
    <t>INSTRUCTIONS</t>
  </si>
  <si>
    <t>1)</t>
  </si>
  <si>
    <t>Begin with the 'Enrollment &amp; Staffing' worksheet.</t>
  </si>
  <si>
    <t>3)</t>
  </si>
  <si>
    <t>Estimate if any school buildings can be closed given the projected enrollment decreases in each scenario.</t>
  </si>
  <si>
    <t>4)</t>
  </si>
  <si>
    <t>Estimate changes in staffing that can be made given the projected enrollment losses.</t>
  </si>
  <si>
    <t>Move on to the "Expenditure" worksheet.</t>
  </si>
  <si>
    <r>
      <rPr>
        <b/>
        <sz val="10"/>
        <color theme="1"/>
        <rFont val="Franklin Gothic Book"/>
        <family val="2"/>
      </rPr>
      <t xml:space="preserve">a. What is the primary cost driver? </t>
    </r>
    <r>
      <rPr>
        <sz val="10"/>
        <color theme="1"/>
        <rFont val="Franklin Gothic Book"/>
        <family val="2"/>
      </rPr>
      <t>For example, salaries spent on educational professionals in regualar elementary and secondary programs (code 1100-120) are driven primarily by the number of general education teachers. You would then select "Gen Ed Teachers" from the drop down menu. 
   On the other hand, dollars spent on supplies for student supports services (code 2100-600) may be more driven by the total enrollment of the district. In this case, you would selected "Total Enrollment" from the drop down menu.</t>
    </r>
  </si>
  <si>
    <r>
      <rPr>
        <b/>
        <sz val="10"/>
        <color theme="1"/>
        <rFont val="Franklin Gothic Book"/>
        <family val="2"/>
      </rPr>
      <t xml:space="preserve">b. What percent of this cost is fixed in a one-year period? </t>
    </r>
    <r>
      <rPr>
        <sz val="10"/>
        <color theme="1"/>
        <rFont val="Franklin Gothic Book"/>
        <family val="2"/>
      </rPr>
      <t xml:space="preserve">A 100% fixed cost is one that does not vary according to any changes in enrollment, staffing or district infrastructure. For many districts, capital expenditures and debt service are examples of entirely fixed costs. 
   A 0% fixed cost is one that varies directly with changes in enrollment, staffing or district infrastructure. Dollars spent on teachers' salaries may vary entirely according to the number of teachers and be 0% fixed, for example. However, if you are aware of a contract stipulation that mandates salary increases for existing teachers each year, this can be accounted for by counting that as a fixed cost. </t>
    </r>
  </si>
  <si>
    <t>*</t>
  </si>
  <si>
    <r>
      <t>Terms with a teal asterik ("</t>
    </r>
    <r>
      <rPr>
        <b/>
        <sz val="10"/>
        <color rgb="FF14958E"/>
        <rFont val="Franklin Gothic Book"/>
        <family val="2"/>
      </rPr>
      <t>*</t>
    </r>
    <r>
      <rPr>
        <sz val="10"/>
        <color theme="1"/>
        <rFont val="Franklin Gothic Book"/>
        <family val="2"/>
      </rPr>
      <t>") next to them have further explanation and clarification in the "Terms and Notes" sheet. Click on the "</t>
    </r>
    <r>
      <rPr>
        <sz val="10"/>
        <color rgb="FF14958E"/>
        <rFont val="Franklin Gothic Book"/>
        <family val="2"/>
      </rPr>
      <t>*</t>
    </r>
    <r>
      <rPr>
        <sz val="10"/>
        <color theme="1"/>
        <rFont val="Franklin Gothic Book"/>
        <family val="2"/>
      </rPr>
      <t>" to be taken to the note.</t>
    </r>
  </si>
  <si>
    <t>IMPORTANT NOTES:</t>
  </si>
  <si>
    <t xml:space="preserve">District Name: </t>
  </si>
  <si>
    <t>% of DE</t>
  </si>
  <si>
    <t>DISTRICT ENROLLMENT (DE)</t>
  </si>
  <si>
    <t>% of CE</t>
  </si>
  <si>
    <t>CHARTER ENROLLMENT (CE)</t>
  </si>
  <si>
    <t>Category 1 (Low Cost)</t>
  </si>
  <si>
    <t>Category 2 (Moderate Cost)</t>
  </si>
  <si>
    <t>Category 3 (High Cost)</t>
  </si>
  <si>
    <t>S:A Ratio</t>
  </si>
  <si>
    <t>Term</t>
  </si>
  <si>
    <t>Definition</t>
  </si>
  <si>
    <t>District Enrollment (DE)</t>
  </si>
  <si>
    <t>Administrative</t>
  </si>
  <si>
    <t>DISTRICT BUILDINGS</t>
  </si>
  <si>
    <r>
      <t xml:space="preserve">Student Subgroups </t>
    </r>
    <r>
      <rPr>
        <i/>
        <sz val="8"/>
        <color theme="1"/>
        <rFont val="Franklin Gothic Book"/>
        <family val="2"/>
      </rPr>
      <t>(already included in DE)</t>
    </r>
  </si>
  <si>
    <r>
      <t xml:space="preserve">Student Subgroups </t>
    </r>
    <r>
      <rPr>
        <i/>
        <sz val="8"/>
        <color theme="1"/>
        <rFont val="Franklin Gothic Book"/>
        <family val="2"/>
      </rPr>
      <t>(already included in CE)</t>
    </r>
  </si>
  <si>
    <t>S:B Ratio</t>
  </si>
  <si>
    <t>S:P Ratio</t>
  </si>
  <si>
    <t>Enrollment - Special Ed</t>
  </si>
  <si>
    <t>Enrollment - ELLs</t>
  </si>
  <si>
    <t>Enrollment - G3-G5</t>
  </si>
  <si>
    <t>Enrollment - G6-G8</t>
  </si>
  <si>
    <t>Enrollment - G9-G12</t>
  </si>
  <si>
    <t>Enrollment - K-G2</t>
  </si>
  <si>
    <t>Enrollment - TPE</t>
  </si>
  <si>
    <t>Enrollment - Reg Ed</t>
  </si>
  <si>
    <t>Enrollment - District Only</t>
  </si>
  <si>
    <t>Buildings - All</t>
  </si>
  <si>
    <t>Buildings - Administrative</t>
  </si>
  <si>
    <t xml:space="preserve">Admin - All </t>
  </si>
  <si>
    <t>Admin - C-Level</t>
  </si>
  <si>
    <t>Admin - Principals</t>
  </si>
  <si>
    <t>Admin - Asst. Principals</t>
  </si>
  <si>
    <t>Admin - Other School Based</t>
  </si>
  <si>
    <t>Admin - Other Central Office</t>
  </si>
  <si>
    <t>Admin - All School-based</t>
  </si>
  <si>
    <t>Admin - All Central Office</t>
  </si>
  <si>
    <t>Buildings - Elementary</t>
  </si>
  <si>
    <t>Buildings - Middle</t>
  </si>
  <si>
    <t>Buildings - Secondary</t>
  </si>
  <si>
    <t>Educational Personnel (EP) - All</t>
  </si>
  <si>
    <t>EP - Teachers - Reg Ed Only</t>
  </si>
  <si>
    <t>EP - Teachers - SpEd Only</t>
  </si>
  <si>
    <t>EP - Teachers - ELL Only</t>
  </si>
  <si>
    <t>Buildings - All Schools</t>
  </si>
  <si>
    <t xml:space="preserve"> </t>
  </si>
  <si>
    <t>562</t>
  </si>
  <si>
    <t>300-500*</t>
  </si>
  <si>
    <t>Tuition to Charter Schools</t>
  </si>
  <si>
    <t>Purchased Services (except Obj. 562)</t>
  </si>
  <si>
    <t>Total Public Enrollment (TPE)</t>
  </si>
  <si>
    <t>Student Subgroups</t>
  </si>
  <si>
    <t>These students should already be included in the grade span totals above. You do not need to disaggregate these subgroups by grade span. However, do not include Pre-K students.</t>
  </si>
  <si>
    <t>This enrollment number includes both charter and district students enrolled in grades K-12. It does NOT include private school students.</t>
  </si>
  <si>
    <t>This enrollment number includes only students enrolled in district schools, grade K-12.</t>
  </si>
  <si>
    <t>Disability Categories</t>
  </si>
  <si>
    <t>Percent of TPE (% of TPE)</t>
  </si>
  <si>
    <t>This is the percentage of the total public enrollment which consists of all district students and charter students residing in the district.</t>
  </si>
  <si>
    <t>Charter Enrollment (CE)</t>
  </si>
  <si>
    <t>This enrollment number includes only students enrolled in charter schools, both cyber and brick-and-mortar, who reside in the district.</t>
  </si>
  <si>
    <t>District Buildings</t>
  </si>
  <si>
    <t>This number will automatically calculate based on the numbers entered below it. It is a total of the buildings owned or operated by the district.</t>
  </si>
  <si>
    <t>C-Level Administrators</t>
  </si>
  <si>
    <t>Other LEA-based Admin</t>
  </si>
  <si>
    <t>C-Level administrators include officials and administrators who perform the highest level, system-wide, executive management functions of the district. These are administrators without whom core services and functions of the district would not operate.</t>
  </si>
  <si>
    <t>Other School-based Admin</t>
  </si>
  <si>
    <t>These are other officials or administrators (i.e., assistants, academic department chairs, cafeteria directors, managers of services) who work primarily within a single school. Note that secretaries, bookkeepers and records managers are NOT included in this category, but rather in the "Office/Clerical" section.</t>
  </si>
  <si>
    <t>These are other administrators (i.e. assistant, deputy, or associate superintendants; administrative assistants) who work primarily system-wide or within a cluster of schools. Note that secretaries, bookkeepers and records managers are NOT included in this category, but rather in the "Office/Clerical" section.</t>
  </si>
  <si>
    <t>Other Personnel</t>
  </si>
  <si>
    <t>These categories are described in detail in the PA Office of the Budget Chart of Accounts for LEAs. They directly correspond with the categories used to account the salaries object (object 100) and the job classification dimension in section H-13.</t>
  </si>
  <si>
    <t>Methodology</t>
  </si>
  <si>
    <t>Table of Contents:</t>
  </si>
  <si>
    <t>I. Key Assumptions</t>
  </si>
  <si>
    <t>III. Expenditure Projection Calculations</t>
  </si>
  <si>
    <t>I.</t>
  </si>
  <si>
    <t>Key Assumptions</t>
  </si>
  <si>
    <t>II. Enrollment &amp; Staffing Projection Calculations</t>
  </si>
  <si>
    <t>II.</t>
  </si>
  <si>
    <t>Enrollment &amp; Staffing Projection Calculations</t>
  </si>
  <si>
    <t>III.</t>
  </si>
  <si>
    <t>Expenditure Projection Calculations</t>
  </si>
  <si>
    <t>Enrollment - Charter (All)</t>
  </si>
  <si>
    <t>Enrollment - Charter - Reg Ed Only</t>
  </si>
  <si>
    <t>Enrollment - Charter - SpEd Only</t>
  </si>
  <si>
    <t>Total Savings per CS Student</t>
  </si>
  <si>
    <t>This is the amount saved (i.e., expenditure reductions) per student leaving the district for a charter school BEFORE factoring in increased expenditures on charter tuition payments. The numerator is the change in variable costs between Scenario X and Current, subtracting the change in charter tuition payments. The denominator is the change in district enrollment from Current to Scenario X.</t>
  </si>
  <si>
    <t>Per Pupil Impact</t>
  </si>
  <si>
    <t>This is the net fiscal impact per student leaving the district between Current and Scenario X. Unlike Total Savings per CS Student (see above), Per Pupil Impact factors in charter tuition payments. If this number is negative (surrounded in parentheses), fiscal impact represents an additional cost to the district. If this number is positive, fiscal impact represents a savings per student to the district.</t>
  </si>
  <si>
    <t>Back to Sheet</t>
  </si>
  <si>
    <t>Obj. 300-500* (Purchased Services except 562)</t>
  </si>
  <si>
    <t>This object includes all objects 300 to 500 except 562 (Tuition to Charter Schools). Object 562 was separated out because (1) charter tuition payments are variable according to charter enrollment, unlike other purchased services for district students, and (2) charter tuition payments may represent a large percentage of spending in object 500 for some districts and should be separated out.</t>
  </si>
  <si>
    <t>Obj. 562 (Tuition to PA Charter Schools)</t>
  </si>
  <si>
    <t>According to the PA Office of the Budget Chart of Accounts for LEAs, this object must contain any "expenditures to reimburse Pennsylania charter schools and cyber charter schools for educational servies provdied to students attending the charter school" (F-12). These expenditures, however, will be spread across several functions.</t>
  </si>
  <si>
    <r>
      <t>In the "</t>
    </r>
    <r>
      <rPr>
        <b/>
        <sz val="10"/>
        <color theme="1"/>
        <rFont val="Franklin Gothic Book"/>
        <family val="2"/>
      </rPr>
      <t>ENROLLMENT</t>
    </r>
    <r>
      <rPr>
        <sz val="10"/>
        <color theme="1"/>
        <rFont val="Franklin Gothic Book"/>
        <family val="2"/>
      </rPr>
      <t>" section, RFA has already calculated projected enrollment losses by grade span under four unique scenarios:</t>
    </r>
  </si>
  <si>
    <t>FISCAL IMPACT CALCULATIONS</t>
  </si>
  <si>
    <r>
      <t>All other fields are automatically calculated</t>
    </r>
    <r>
      <rPr>
        <b/>
        <sz val="11"/>
        <color theme="1"/>
        <rFont val="Franklin Gothic Book"/>
        <family val="2"/>
      </rPr>
      <t>.</t>
    </r>
    <r>
      <rPr>
        <sz val="11"/>
        <color theme="1"/>
        <rFont val="Franklin Gothic Book"/>
        <family val="2"/>
      </rPr>
      <t xml:space="preserve"> They are locked for editing. Editing these cells may cause the final fiscal impact calculations to be invalid.</t>
    </r>
  </si>
  <si>
    <t>G1 Students</t>
  </si>
  <si>
    <t>G2 Students</t>
  </si>
  <si>
    <t>G4 Students</t>
  </si>
  <si>
    <t>G5 Students</t>
  </si>
  <si>
    <t>G7 Students</t>
  </si>
  <si>
    <t>G8 Students</t>
  </si>
  <si>
    <t>G9 Students</t>
  </si>
  <si>
    <t>G10 Students</t>
  </si>
  <si>
    <t>G11 Students</t>
  </si>
  <si>
    <t>G12 Students</t>
  </si>
  <si>
    <t>K Students</t>
  </si>
  <si>
    <t>G3 Students</t>
  </si>
  <si>
    <t>G6 Students</t>
  </si>
  <si>
    <t>Maj. Function</t>
  </si>
  <si>
    <t>Year 1</t>
  </si>
  <si>
    <t>Year 5</t>
  </si>
  <si>
    <t>All Schools</t>
  </si>
  <si>
    <t>Special Education Teachers</t>
  </si>
  <si>
    <t>ESL Teachers</t>
  </si>
  <si>
    <t>SCEN. 1 - Year 1</t>
  </si>
  <si>
    <t>SCEN. 1 - Year 5</t>
  </si>
  <si>
    <t>SCEN. 2 - Year 1</t>
  </si>
  <si>
    <t>SCEN. 2 - Year 5</t>
  </si>
  <si>
    <t>SCEN. 3 - Year 1</t>
  </si>
  <si>
    <t>SCEN. 3 - Year 5</t>
  </si>
  <si>
    <t>SCEN. 4 - Year 1</t>
  </si>
  <si>
    <t>SCEN. 4 - Year 5</t>
  </si>
  <si>
    <t>Year 0</t>
  </si>
  <si>
    <t>District Per Pupil Expenditure</t>
  </si>
  <si>
    <t>Total Public Enrollment</t>
  </si>
  <si>
    <t>Charter Enrollment</t>
  </si>
  <si>
    <t>District Enrollment</t>
  </si>
  <si>
    <r>
      <t xml:space="preserve">   Scenario 4: </t>
    </r>
    <r>
      <rPr>
        <sz val="10"/>
        <color theme="1"/>
        <rFont val="Franklin Gothic Book"/>
        <family val="2"/>
      </rPr>
      <t>Charter expansion leads to an additional 4% enrollment loss per year for 5 years.</t>
    </r>
  </si>
  <si>
    <t>Each scenario assumes that charter schools are pulling from the grade spans at rates equal to their current grade span compositions. This information is listed under "% of CE". For example, if the "% of CE" for G3-G5 is 20%, that means that 20% of all charter students are in grades 3 through grade 5 and that 20% of projected enrollment losses would be pulled from this grade span.</t>
  </si>
  <si>
    <r>
      <t>Scroll down to the "</t>
    </r>
    <r>
      <rPr>
        <b/>
        <sz val="10"/>
        <color theme="1"/>
        <rFont val="Franklin Gothic Book"/>
        <family val="2"/>
      </rPr>
      <t>INFRASTRUCTURE</t>
    </r>
    <r>
      <rPr>
        <sz val="10"/>
        <color theme="1"/>
        <rFont val="Franklin Gothic Book"/>
        <family val="2"/>
      </rPr>
      <t>"</t>
    </r>
    <r>
      <rPr>
        <b/>
        <sz val="10"/>
        <color theme="1"/>
        <rFont val="Franklin Gothic Book"/>
        <family val="2"/>
      </rPr>
      <t xml:space="preserve"> </t>
    </r>
    <r>
      <rPr>
        <sz val="10"/>
        <color theme="1"/>
        <rFont val="Franklin Gothic Book"/>
        <family val="2"/>
      </rPr>
      <t>section. Use the average capacity numbers to help guide your predictions and consult the "Building List" tab for more detailed information. For example, if you believe that a loss of 500 elementary students would allow you to close one elementary school building, then reduce the number of elementary buildings in the scenarios in which 500 or more elementary students are lost. Enter your comments as you go along in the "Comments" column.</t>
    </r>
  </si>
  <si>
    <r>
      <t>Scroll down to the "</t>
    </r>
    <r>
      <rPr>
        <b/>
        <sz val="10"/>
        <color theme="1"/>
        <rFont val="Franklin Gothic Book"/>
        <family val="2"/>
      </rPr>
      <t>PERSONNEL</t>
    </r>
    <r>
      <rPr>
        <sz val="10"/>
        <color theme="1"/>
        <rFont val="Franklin Gothic Book"/>
        <family val="2"/>
      </rPr>
      <t>" section. Take your previous estimates on building closures into consideration as well. Enter your comments in the "Comments" column.</t>
    </r>
  </si>
  <si>
    <t>This worksheet asks you to make two decisions for each expenditure function and object:</t>
  </si>
  <si>
    <t>Estimate Range</t>
  </si>
  <si>
    <t>Min</t>
  </si>
  <si>
    <t>Max</t>
  </si>
  <si>
    <t>Per New CS Pupil Impact</t>
  </si>
  <si>
    <t>(TAB IN PROGRESS)</t>
  </si>
  <si>
    <t>Null (Subtotal - With CE)</t>
  </si>
  <si>
    <t>District Only Per Pupil Expenditure</t>
  </si>
  <si>
    <t>Charter Per Pupil Expenditure</t>
  </si>
  <si>
    <t>This figure includes charter tuition payments and the fiscal impact estimate between Year 0 and the projected year. It is best compared to the current charter per pupil tuition. This number does NOT include district expenditures on charter school students that cannot be disaggregated from in-district student expenditures, e.g., student transportation services.</t>
  </si>
  <si>
    <t>Growth</t>
  </si>
  <si>
    <r>
      <t>All fields highlighted in</t>
    </r>
    <r>
      <rPr>
        <b/>
        <sz val="11"/>
        <color theme="1"/>
        <rFont val="Franklin Gothic Book"/>
        <family val="2"/>
      </rPr>
      <t xml:space="preserve"> </t>
    </r>
    <r>
      <rPr>
        <b/>
        <sz val="12"/>
        <color rgb="FF14958E"/>
        <rFont val="Franklin Gothic Book"/>
        <family val="2"/>
      </rPr>
      <t>teal</t>
    </r>
    <r>
      <rPr>
        <sz val="11"/>
        <color theme="1"/>
        <rFont val="Franklin Gothic Book"/>
        <family val="2"/>
      </rPr>
      <t xml:space="preserve"> are those for which </t>
    </r>
    <r>
      <rPr>
        <i/>
        <sz val="11"/>
        <color theme="1"/>
        <rFont val="Franklin Gothic Book"/>
        <family val="2"/>
      </rPr>
      <t>predictions and judgment</t>
    </r>
    <r>
      <rPr>
        <sz val="11"/>
        <color theme="1"/>
        <rFont val="Franklin Gothic Book"/>
        <family val="2"/>
      </rPr>
      <t xml:space="preserve"> need to be made.
All fields highlighted in </t>
    </r>
    <r>
      <rPr>
        <b/>
        <sz val="11"/>
        <color rgb="FFF15D29"/>
        <rFont val="Franklin Gothic Book"/>
        <family val="2"/>
      </rPr>
      <t>orange</t>
    </r>
    <r>
      <rPr>
        <sz val="11"/>
        <color theme="1"/>
        <rFont val="Franklin Gothic Book"/>
        <family val="2"/>
      </rPr>
      <t xml:space="preserve"> are those for which </t>
    </r>
    <r>
      <rPr>
        <i/>
        <sz val="11"/>
        <color theme="1"/>
        <rFont val="Franklin Gothic Book"/>
        <family val="2"/>
      </rPr>
      <t>actual data</t>
    </r>
    <r>
      <rPr>
        <sz val="11"/>
        <color theme="1"/>
        <rFont val="Franklin Gothic Book"/>
        <family val="2"/>
      </rPr>
      <t xml:space="preserve"> is needed.</t>
    </r>
  </si>
  <si>
    <t>K Students (FTE)</t>
  </si>
  <si>
    <t>At-Risk (Economic Disadvantage)</t>
  </si>
  <si>
    <t>Enrollment - At-Risk</t>
  </si>
  <si>
    <t>ENROLLMENT HISTORY</t>
  </si>
  <si>
    <t>YEAR -6 
(2009-10)</t>
  </si>
  <si>
    <t>YEAR -5 
(2010-11)</t>
  </si>
  <si>
    <t>YEAR -4 
(2011-12)</t>
  </si>
  <si>
    <t>YEAR -3
(2012-13)</t>
  </si>
  <si>
    <t>YEAR -2
(2013-14)</t>
  </si>
  <si>
    <t>YEAR -1
(2014-15)</t>
  </si>
  <si>
    <t>CURRENT
(2015-16)</t>
  </si>
  <si>
    <t>Cohort #</t>
  </si>
  <si>
    <t>K Students (HC)</t>
  </si>
  <si>
    <t>Linear</t>
  </si>
  <si>
    <t>Logarithmic</t>
  </si>
  <si>
    <t>Slope</t>
  </si>
  <si>
    <t>Growth Type Fit</t>
  </si>
  <si>
    <t>Cohort Progression</t>
  </si>
  <si>
    <t>Grade-to-Grade Retention</t>
  </si>
  <si>
    <t>K to 1</t>
  </si>
  <si>
    <t>1 to 2</t>
  </si>
  <si>
    <t>2 to 3</t>
  </si>
  <si>
    <t>3 to 4</t>
  </si>
  <si>
    <t>4 to 5</t>
  </si>
  <si>
    <t>5 to 6</t>
  </si>
  <si>
    <t>6 to 7</t>
  </si>
  <si>
    <t>7 to 8</t>
  </si>
  <si>
    <t>8 to 9</t>
  </si>
  <si>
    <t>9 to 10</t>
  </si>
  <si>
    <t>10 to 11</t>
  </si>
  <si>
    <t>11 to 12</t>
  </si>
  <si>
    <t>Six-Year Average</t>
  </si>
  <si>
    <t>Grade Transition</t>
  </si>
  <si>
    <t>Rate</t>
  </si>
  <si>
    <t>R^2</t>
  </si>
  <si>
    <t>Year 2</t>
  </si>
  <si>
    <t>Year 3</t>
  </si>
  <si>
    <t>Year 4</t>
  </si>
  <si>
    <r>
      <t>Projected Charter Share Growth</t>
    </r>
    <r>
      <rPr>
        <i/>
        <sz val="8"/>
        <color theme="1"/>
        <rFont val="Franklin Gothic Book"/>
        <family val="2"/>
      </rPr>
      <t xml:space="preserve"> (from Current Year)</t>
    </r>
    <r>
      <rPr>
        <i/>
        <sz val="11"/>
        <color theme="1"/>
        <rFont val="Franklin Gothic Book"/>
        <family val="2"/>
      </rPr>
      <t>:</t>
    </r>
  </si>
  <si>
    <t>Scenario 1 Projections</t>
  </si>
  <si>
    <t>Charter Penetration</t>
  </si>
  <si>
    <t>Scenario 2 Projections</t>
  </si>
  <si>
    <t>Scenario 3 Projections</t>
  </si>
  <si>
    <t>Scenario 4 Projections</t>
  </si>
  <si>
    <t>Baseline Projections (based on past 6 years)</t>
  </si>
  <si>
    <t>Charter Growth Type:</t>
  </si>
  <si>
    <t>Needed</t>
  </si>
  <si>
    <t>Projected</t>
  </si>
  <si>
    <t>Average Share</t>
  </si>
  <si>
    <t>Average Retention</t>
  </si>
  <si>
    <t>These numbers are based off of 2014-15 counts, the last year this level of special education data are available. These categories are the ones used by the Pennsylvania Department of Education (PDE) to calculate Special Education Funding allocations under the Special Education Funding Formula.</t>
  </si>
  <si>
    <t>Special Education</t>
  </si>
  <si>
    <t>Cat 1 (SD+CS)</t>
  </si>
  <si>
    <t>Cat 2 (SD+CS)</t>
  </si>
  <si>
    <t>Cat 3 (SD+CS)</t>
  </si>
  <si>
    <t>Cat 1 (CS)</t>
  </si>
  <si>
    <t>Cat 2 (CS)</t>
  </si>
  <si>
    <t>Cat 3 (CS)</t>
  </si>
  <si>
    <t>2015-16</t>
  </si>
  <si>
    <t>Cat 1 (SD)</t>
  </si>
  <si>
    <t>Cat 2 (SD)</t>
  </si>
  <si>
    <t>Cat 3 (SD)</t>
  </si>
  <si>
    <t>2014-15</t>
  </si>
  <si>
    <t>Economic Disadvantage</t>
  </si>
  <si>
    <t>% of SD</t>
  </si>
  <si>
    <t>Count</t>
  </si>
  <si>
    <t>SD Count</t>
  </si>
  <si>
    <t>CS Count</t>
  </si>
  <si>
    <t>LEP (SD+CS)</t>
  </si>
  <si>
    <t>LEP (CS)</t>
  </si>
  <si>
    <t>LEP (SD)</t>
  </si>
  <si>
    <t>% Enr</t>
  </si>
  <si>
    <t>K Teachers</t>
  </si>
  <si>
    <t>G1-G3 Teachers</t>
  </si>
  <si>
    <t>G4-G6 Teachers</t>
  </si>
  <si>
    <t>G7-G9 Teachers</t>
  </si>
  <si>
    <t>G10-G12 Teachers</t>
  </si>
  <si>
    <t>Librarian/IT Specialists</t>
  </si>
  <si>
    <t>Other Instructional Specialists</t>
  </si>
  <si>
    <t>EP - Teachers - K</t>
  </si>
  <si>
    <t>EP - Teachers - G1-G3</t>
  </si>
  <si>
    <t>EP - Teachers - G4-G6</t>
  </si>
  <si>
    <t>EP - Teachers - G7-G9</t>
  </si>
  <si>
    <t>EP - Teachers - G10-G12</t>
  </si>
  <si>
    <t>EP - Instructional Specialists Only</t>
  </si>
  <si>
    <t>EP - Librarian/IT Specialists Only</t>
  </si>
  <si>
    <t>EP - Counselors Only</t>
  </si>
  <si>
    <t>Other Personnel (OP) - All</t>
  </si>
  <si>
    <t>OP - Health/Welfare</t>
  </si>
  <si>
    <t>Health/Welfare Professionals</t>
  </si>
  <si>
    <t>All Other Support Staff</t>
  </si>
  <si>
    <t>Instruction Aides</t>
  </si>
  <si>
    <t>School Admin Support Staff</t>
  </si>
  <si>
    <t>Library/Media Support Staff</t>
  </si>
  <si>
    <t>LEA Support Staff</t>
  </si>
  <si>
    <r>
      <rPr>
        <b/>
        <sz val="10"/>
        <color theme="1"/>
        <rFont val="Franklin Gothic Book"/>
        <family val="2"/>
      </rPr>
      <t xml:space="preserve">   Scenario 1:</t>
    </r>
    <r>
      <rPr>
        <sz val="10"/>
        <color theme="1"/>
        <rFont val="Franklin Gothic Book"/>
        <family val="2"/>
      </rPr>
      <t xml:space="preserve"> Charter expansion leads to an additional 0.5% enrollment loss per year for 5 years.</t>
    </r>
  </si>
  <si>
    <r>
      <t xml:space="preserve">   Scenario 2: </t>
    </r>
    <r>
      <rPr>
        <sz val="10"/>
        <color theme="1"/>
        <rFont val="Franklin Gothic Book"/>
        <family val="2"/>
      </rPr>
      <t>Charter expansion leads to an additional 1% enrollment loss per year for 5 years.</t>
    </r>
  </si>
  <si>
    <r>
      <t xml:space="preserve">   Scenario 3: </t>
    </r>
    <r>
      <rPr>
        <sz val="10"/>
        <color theme="1"/>
        <rFont val="Franklin Gothic Book"/>
        <family val="2"/>
      </rPr>
      <t>Charter expansion leads to an additional 2% enrollment loss per year for 5 years.</t>
    </r>
  </si>
  <si>
    <t>B&amp;M</t>
  </si>
  <si>
    <t>Total Expenditure ($)</t>
  </si>
  <si>
    <t>CURRENT - Year 0</t>
  </si>
  <si>
    <t>Enrollment (-2) - TPE</t>
  </si>
  <si>
    <t>Enrollment (-2) - District Only</t>
  </si>
  <si>
    <t>Enrollment (-2) - K-G2</t>
  </si>
  <si>
    <t>Enrollment (-2) - G3-G5</t>
  </si>
  <si>
    <t>Enrollment (-2) - G6-G8</t>
  </si>
  <si>
    <t>Enrollment (-2) - G9-G12</t>
  </si>
  <si>
    <t>Enrollment (-2) - Reg Ed</t>
  </si>
  <si>
    <t>Enrollment (-2) - At-Risk</t>
  </si>
  <si>
    <t>Enrollment (-2) - Special Ed</t>
  </si>
  <si>
    <t>Enrollment (-2) - ELLs</t>
  </si>
  <si>
    <t>Enrollment (-2) - Charter (All)</t>
  </si>
  <si>
    <t>Enrollment (-2) - Charter - Reg Ed Only</t>
  </si>
  <si>
    <t>Enrollment (-2) - Charter - SpEd Only</t>
  </si>
  <si>
    <t>S:T Ratio (-2)</t>
  </si>
  <si>
    <t>TPE Enrollment Model</t>
  </si>
  <si>
    <t>Constant</t>
  </si>
  <si>
    <t>Baseline</t>
  </si>
  <si>
    <t>Baseline - Year 1</t>
  </si>
  <si>
    <t>Baseline - Year 5</t>
  </si>
  <si>
    <t>No. New CS Pupils:</t>
  </si>
  <si>
    <t>No. Total District Enrollment Change:</t>
  </si>
  <si>
    <t>No. TPE Change:</t>
  </si>
  <si>
    <t>Savings (w/o CS Tuition):</t>
  </si>
  <si>
    <t>Add'l Savings from Baseline:</t>
  </si>
  <si>
    <t>Savings per New CS Pupil:</t>
  </si>
  <si>
    <t>Increased Cost per New CS Pupil:</t>
  </si>
  <si>
    <t>Impact per New CS Pupil:</t>
  </si>
  <si>
    <t>Public Per Pupil Expenditure</t>
  </si>
  <si>
    <t>Average Charter Tuition</t>
  </si>
  <si>
    <t>Increased Cost per New CS Pupil (CS Tuition):</t>
  </si>
  <si>
    <t xml:space="preserve">Savings attributable to CS Expansion Estimate </t>
  </si>
  <si>
    <t>Fiscal Impact (after CS Tuition)</t>
  </si>
  <si>
    <t>Min (TEXT)</t>
  </si>
  <si>
    <t>Max (TEXT)</t>
  </si>
  <si>
    <t>% of CS Tuition</t>
  </si>
  <si>
    <t>Total Expenditure</t>
  </si>
  <si>
    <t>Average of 6 Districts</t>
  </si>
  <si>
    <t>Disclaimer:</t>
  </si>
  <si>
    <t>2)</t>
  </si>
  <si>
    <r>
      <t xml:space="preserve">This version of the Charter Impact Calculation Tool is loaded with the average enrollment and expenditure data from the six districts in RFA's study to demonstrate how the tool functions. In particular, users can review the assumptions and estimates used in the tool’s calculations including projections for staff reductions and building closures and the experts’ choices of cost drivers and the level of “fixedness” in each budgetary item. However, </t>
    </r>
    <r>
      <rPr>
        <b/>
        <sz val="10"/>
        <color theme="1"/>
        <rFont val="Franklin Gothic Book"/>
        <family val="2"/>
      </rPr>
      <t>these data are for illustration only--they are not an accurate representation of any district</t>
    </r>
    <r>
      <rPr>
        <sz val="10"/>
        <color theme="1"/>
        <rFont val="Franklin Gothic Book"/>
        <family val="2"/>
      </rPr>
      <t>.  These data are provided only for purposes of reviewing assumptions and estimates, to demonstrate how the calculations operate, and to permit additional school districts to input their own district data.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</si>
</sst>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0.0%"/>
    <numFmt numFmtId="168" formatCode="_(* #,##0_);_(* \(#,##0\);_(* &quot;-&quot;??_);_(@_)"/>
  </numFmts>
  <fonts count="61" x14ac:knownFonts="1">
    <font>
      <sz val="11"/>
      <color theme="1"/>
      <name val="Calibri"/>
      <family val="2"/>
      <scheme val="minor"/>
    </font>
    <font>
      <sz val="10"/>
      <name val="Arial"/>
      <family val="2"/>
    </font>
    <font>
      <sz val="11"/>
      <color theme="1"/>
      <name val="Calibri"/>
      <family val="2"/>
      <scheme val="minor"/>
    </font>
    <font>
      <b/>
      <sz val="10"/>
      <name val="Franklin Gothic Book"/>
      <family val="2"/>
    </font>
    <font>
      <sz val="10"/>
      <color theme="1"/>
      <name val="Franklin Gothic Book"/>
      <family val="2"/>
    </font>
    <font>
      <sz val="10"/>
      <name val="Franklin Gothic Book"/>
      <family val="2"/>
    </font>
    <font>
      <sz val="11"/>
      <color theme="1"/>
      <name val="Franklin Gothic Book"/>
      <family val="2"/>
    </font>
    <font>
      <b/>
      <sz val="9"/>
      <name val="Franklin Gothic Book"/>
      <family val="2"/>
    </font>
    <font>
      <sz val="9"/>
      <color theme="1"/>
      <name val="Franklin Gothic Book"/>
      <family val="2"/>
    </font>
    <font>
      <b/>
      <sz val="11"/>
      <color theme="1"/>
      <name val="Franklin Gothic Book"/>
      <family val="2"/>
    </font>
    <font>
      <b/>
      <sz val="11"/>
      <name val="Franklin Gothic Book"/>
      <family val="2"/>
    </font>
    <font>
      <b/>
      <sz val="11"/>
      <color theme="0"/>
      <name val="Franklin Gothic Book"/>
      <family val="2"/>
    </font>
    <font>
      <b/>
      <sz val="10"/>
      <color theme="1"/>
      <name val="Franklin Gothic Book"/>
      <family val="2"/>
    </font>
    <font>
      <b/>
      <u/>
      <sz val="11"/>
      <color theme="1"/>
      <name val="Franklin Gothic Book"/>
      <family val="2"/>
    </font>
    <font>
      <b/>
      <u/>
      <sz val="11"/>
      <name val="Franklin Gothic Book"/>
      <family val="2"/>
    </font>
    <font>
      <sz val="11"/>
      <name val="Franklin Gothic Book"/>
      <family val="2"/>
    </font>
    <font>
      <b/>
      <u/>
      <sz val="12"/>
      <color theme="1"/>
      <name val="Franklin Gothic Book"/>
      <family val="2"/>
    </font>
    <font>
      <b/>
      <u/>
      <sz val="12"/>
      <name val="Franklin Gothic Book"/>
      <family val="2"/>
    </font>
    <font>
      <sz val="12"/>
      <name val="Franklin Gothic Book"/>
      <family val="2"/>
    </font>
    <font>
      <sz val="12"/>
      <color theme="1"/>
      <name val="Franklin Gothic Book"/>
      <family val="2"/>
    </font>
    <font>
      <sz val="9"/>
      <name val="Franklin Gothic Book"/>
      <family val="2"/>
    </font>
    <font>
      <b/>
      <sz val="9"/>
      <color theme="1"/>
      <name val="Franklin Gothic Book"/>
      <family val="2"/>
    </font>
    <font>
      <b/>
      <sz val="12"/>
      <color theme="1"/>
      <name val="Franklin Gothic Book"/>
      <family val="2"/>
    </font>
    <font>
      <i/>
      <sz val="11"/>
      <color theme="1"/>
      <name val="Franklin Gothic Book"/>
      <family val="2"/>
    </font>
    <font>
      <i/>
      <sz val="10"/>
      <color theme="1"/>
      <name val="Franklin Gothic Book"/>
      <family val="2"/>
    </font>
    <font>
      <b/>
      <i/>
      <sz val="11"/>
      <color theme="1"/>
      <name val="Franklin Gothic Book"/>
      <family val="2"/>
    </font>
    <font>
      <i/>
      <sz val="9"/>
      <color theme="1"/>
      <name val="Franklin Gothic Book"/>
      <family val="2"/>
    </font>
    <font>
      <b/>
      <u/>
      <sz val="10"/>
      <color theme="1"/>
      <name val="Franklin Gothic Book"/>
      <family val="2"/>
    </font>
    <font>
      <b/>
      <i/>
      <sz val="10"/>
      <color theme="1"/>
      <name val="Franklin Gothic Book"/>
      <family val="2"/>
    </font>
    <font>
      <u/>
      <sz val="10"/>
      <color theme="1"/>
      <name val="Franklin Gothic Book"/>
      <family val="2"/>
    </font>
    <font>
      <u/>
      <sz val="10"/>
      <name val="Franklin Gothic Book"/>
      <family val="2"/>
    </font>
    <font>
      <b/>
      <sz val="8"/>
      <color theme="0"/>
      <name val="Franklin Gothic Book"/>
      <family val="2"/>
    </font>
    <font>
      <b/>
      <sz val="12"/>
      <color theme="0"/>
      <name val="Franklin Gothic Book"/>
      <family val="2"/>
    </font>
    <font>
      <b/>
      <sz val="12"/>
      <color rgb="FF14958E"/>
      <name val="Franklin Gothic Book"/>
      <family val="2"/>
    </font>
    <font>
      <sz val="11"/>
      <color rgb="FF14958E"/>
      <name val="Franklin Gothic Book"/>
      <family val="2"/>
    </font>
    <font>
      <b/>
      <sz val="11"/>
      <color rgb="FF14958E"/>
      <name val="Franklin Gothic Book"/>
      <family val="2"/>
    </font>
    <font>
      <b/>
      <u/>
      <sz val="11"/>
      <color rgb="FF14958E"/>
      <name val="Calibri"/>
      <family val="2"/>
      <scheme val="minor"/>
    </font>
    <font>
      <b/>
      <sz val="10"/>
      <color rgb="FF14958E"/>
      <name val="Franklin Gothic Book"/>
      <family val="2"/>
    </font>
    <font>
      <b/>
      <i/>
      <sz val="10"/>
      <color rgb="FF14958E"/>
      <name val="Franklin Gothic Book"/>
      <family val="2"/>
    </font>
    <font>
      <sz val="10"/>
      <color rgb="FF14958E"/>
      <name val="Franklin Gothic Book"/>
      <family val="2"/>
    </font>
    <font>
      <i/>
      <sz val="8"/>
      <color theme="1"/>
      <name val="Franklin Gothic Book"/>
      <family val="2"/>
    </font>
    <font>
      <b/>
      <i/>
      <sz val="9"/>
      <color theme="1"/>
      <name val="Franklin Gothic Book"/>
      <family val="2"/>
    </font>
    <font>
      <b/>
      <sz val="20"/>
      <color rgb="FF14958E"/>
      <name val="Franklin Gothic Demi"/>
      <family val="2"/>
    </font>
    <font>
      <u/>
      <sz val="11"/>
      <color rgb="FF14958E"/>
      <name val="Franklin Gothic Demi"/>
      <family val="2"/>
    </font>
    <font>
      <b/>
      <u/>
      <sz val="11"/>
      <color rgb="FF14958E"/>
      <name val="Franklin Gothic Book"/>
      <family val="2"/>
    </font>
    <font>
      <b/>
      <sz val="14"/>
      <color theme="1"/>
      <name val="Franklin Gothic Book"/>
      <family val="2"/>
    </font>
    <font>
      <u/>
      <sz val="12"/>
      <color rgb="FF14958E"/>
      <name val="Franklin Gothic Demi"/>
      <family val="2"/>
    </font>
    <font>
      <sz val="11"/>
      <color theme="1"/>
      <name val="Cambria"/>
      <family val="1"/>
    </font>
    <font>
      <b/>
      <u/>
      <sz val="14"/>
      <color theme="1"/>
      <name val="Franklin Gothic Book"/>
      <family val="2"/>
    </font>
    <font>
      <b/>
      <u/>
      <sz val="14"/>
      <name val="Franklin Gothic Book"/>
      <family val="2"/>
    </font>
    <font>
      <i/>
      <sz val="12"/>
      <color theme="1"/>
      <name val="Franklin Gothic Book"/>
      <family val="2"/>
    </font>
    <font>
      <b/>
      <sz val="9"/>
      <color theme="0"/>
      <name val="Franklin Gothic Book"/>
      <family val="2"/>
    </font>
    <font>
      <b/>
      <sz val="11"/>
      <color rgb="FFF15D29"/>
      <name val="Franklin Gothic Book"/>
      <family val="2"/>
    </font>
    <font>
      <b/>
      <sz val="10"/>
      <color theme="0"/>
      <name val="Franklin Gothic Book"/>
      <family val="2"/>
    </font>
    <font>
      <sz val="12"/>
      <color theme="1" tint="0.249977111117893"/>
      <name val="Franklin Gothic Book"/>
      <family val="2"/>
    </font>
    <font>
      <sz val="11"/>
      <color theme="1" tint="0.249977111117893"/>
      <name val="Franklin Gothic Book"/>
      <family val="2"/>
    </font>
    <font>
      <u/>
      <sz val="11"/>
      <color theme="11"/>
      <name val="Calibri"/>
      <family val="2"/>
      <scheme val="minor"/>
    </font>
    <font>
      <sz val="10"/>
      <color rgb="FF000000"/>
      <name val="Arial"/>
      <family val="2"/>
    </font>
    <font>
      <sz val="10"/>
      <color rgb="FF000000"/>
      <name val="Arial"/>
      <family val="2"/>
    </font>
    <font>
      <u/>
      <sz val="12"/>
      <color theme="1"/>
      <name val="Franklin Gothic Book"/>
      <family val="2"/>
    </font>
    <font>
      <b/>
      <sz val="11"/>
      <color rgb="FFFF0000"/>
      <name val="Franklin Gothic Book"/>
      <family val="2"/>
    </font>
  </fonts>
  <fills count="19">
    <fill>
      <patternFill patternType="none"/>
    </fill>
    <fill>
      <patternFill patternType="gray125"/>
    </fill>
    <fill>
      <patternFill patternType="solid">
        <fgColor theme="1"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14958E"/>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F15D2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B3B3"/>
        <bgColor indexed="64"/>
      </patternFill>
    </fill>
    <fill>
      <patternFill patternType="solid">
        <fgColor theme="1" tint="0.499984740745262"/>
        <bgColor indexed="64"/>
      </patternFill>
    </fill>
    <fill>
      <patternFill patternType="solid">
        <fgColor rgb="FFF79B73"/>
        <bgColor indexed="64"/>
      </patternFill>
    </fill>
  </fills>
  <borders count="69">
    <border>
      <left/>
      <right/>
      <top/>
      <bottom/>
      <diagonal/>
    </border>
    <border>
      <left/>
      <right/>
      <top/>
      <bottom style="thin">
        <color theme="5" tint="-0.249977111117893"/>
      </bottom>
      <diagonal/>
    </border>
    <border>
      <left/>
      <right style="thin">
        <color theme="0" tint="-0.249977111117893"/>
      </right>
      <top/>
      <bottom style="thin">
        <color theme="5" tint="-0.249977111117893"/>
      </bottom>
      <diagonal/>
    </border>
    <border>
      <left/>
      <right/>
      <top style="thin">
        <color theme="5" tint="-0.249977111117893"/>
      </top>
      <bottom/>
      <diagonal/>
    </border>
    <border>
      <left/>
      <right/>
      <top style="medium">
        <color auto="1"/>
      </top>
      <bottom/>
      <diagonal/>
    </border>
    <border>
      <left style="medium">
        <color auto="1"/>
      </left>
      <right/>
      <top/>
      <bottom style="thin">
        <color theme="5" tint="-0.249977111117893"/>
      </bottom>
      <diagonal/>
    </border>
    <border>
      <left/>
      <right/>
      <top/>
      <bottom style="medium">
        <color auto="1"/>
      </bottom>
      <diagonal/>
    </border>
    <border>
      <left/>
      <right style="thin">
        <color theme="6"/>
      </right>
      <top style="thin">
        <color theme="5" tint="-0.249977111117893"/>
      </top>
      <bottom/>
      <diagonal/>
    </border>
    <border>
      <left/>
      <right style="thin">
        <color theme="6"/>
      </right>
      <top/>
      <bottom/>
      <diagonal/>
    </border>
    <border>
      <left/>
      <right style="thin">
        <color theme="6"/>
      </right>
      <top/>
      <bottom style="thin">
        <color theme="5" tint="-0.249977111117893"/>
      </bottom>
      <diagonal/>
    </border>
    <border>
      <left style="medium">
        <color auto="1"/>
      </left>
      <right style="thin">
        <color theme="6"/>
      </right>
      <top style="thin">
        <color theme="5" tint="-0.249977111117893"/>
      </top>
      <bottom/>
      <diagonal/>
    </border>
    <border>
      <left style="medium">
        <color auto="1"/>
      </left>
      <right style="thin">
        <color theme="6"/>
      </right>
      <top/>
      <bottom/>
      <diagonal/>
    </border>
    <border>
      <left style="medium">
        <color auto="1"/>
      </left>
      <right style="thin">
        <color theme="6"/>
      </right>
      <top/>
      <bottom style="thin">
        <color theme="5" tint="-0.249977111117893"/>
      </bottom>
      <diagonal/>
    </border>
    <border>
      <left/>
      <right style="thin">
        <color theme="6"/>
      </right>
      <top/>
      <bottom style="medium">
        <color auto="1"/>
      </bottom>
      <diagonal/>
    </border>
    <border>
      <left style="medium">
        <color auto="1"/>
      </left>
      <right style="thin">
        <color theme="6"/>
      </right>
      <top/>
      <bottom style="medium">
        <color auto="1"/>
      </bottom>
      <diagonal/>
    </border>
    <border>
      <left style="medium">
        <color auto="1"/>
      </left>
      <right style="thin">
        <color theme="6"/>
      </right>
      <top style="medium">
        <color auto="1"/>
      </top>
      <bottom/>
      <diagonal/>
    </border>
    <border>
      <left style="thin">
        <color theme="6"/>
      </left>
      <right/>
      <top/>
      <bottom/>
      <diagonal/>
    </border>
    <border>
      <left style="medium">
        <color theme="5" tint="-0.249977111117893"/>
      </left>
      <right/>
      <top style="medium">
        <color theme="5" tint="-0.249977111117893"/>
      </top>
      <bottom style="medium">
        <color theme="5" tint="-0.249977111117893"/>
      </bottom>
      <diagonal/>
    </border>
    <border>
      <left/>
      <right/>
      <top style="medium">
        <color theme="5" tint="-0.249977111117893"/>
      </top>
      <bottom style="medium">
        <color theme="5" tint="-0.249977111117893"/>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medium">
        <color auto="1"/>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medium">
        <color auto="1"/>
      </right>
      <top/>
      <bottom/>
      <diagonal/>
    </border>
    <border>
      <left style="medium">
        <color auto="1"/>
      </left>
      <right/>
      <top style="medium">
        <color theme="5" tint="-0.249977111117893"/>
      </top>
      <bottom style="medium">
        <color theme="5" tint="-0.249977111117893"/>
      </bottom>
      <diagonal/>
    </border>
    <border>
      <left style="thin">
        <color theme="2"/>
      </left>
      <right style="thin">
        <color theme="2"/>
      </right>
      <top/>
      <bottom style="thin">
        <color theme="2"/>
      </bottom>
      <diagonal/>
    </border>
    <border>
      <left style="thin">
        <color theme="2"/>
      </left>
      <right style="medium">
        <color auto="1"/>
      </right>
      <top/>
      <bottom style="thin">
        <color theme="2"/>
      </bottom>
      <diagonal/>
    </border>
    <border>
      <left style="thin">
        <color theme="2"/>
      </left>
      <right style="thin">
        <color theme="2"/>
      </right>
      <top style="thin">
        <color theme="2"/>
      </top>
      <bottom style="medium">
        <color auto="1"/>
      </bottom>
      <diagonal/>
    </border>
    <border>
      <left style="thin">
        <color theme="2"/>
      </left>
      <right style="medium">
        <color auto="1"/>
      </right>
      <top style="thin">
        <color theme="2"/>
      </top>
      <bottom style="medium">
        <color auto="1"/>
      </bottom>
      <diagonal/>
    </border>
    <border>
      <left style="thin">
        <color theme="6"/>
      </left>
      <right/>
      <top/>
      <bottom style="medium">
        <color auto="1"/>
      </bottom>
      <diagonal/>
    </border>
    <border>
      <left/>
      <right style="thin">
        <color theme="2"/>
      </right>
      <top/>
      <bottom style="medium">
        <color auto="1"/>
      </bottom>
      <diagonal/>
    </border>
    <border>
      <left/>
      <right style="medium">
        <color rgb="FFF15D29"/>
      </right>
      <top/>
      <bottom/>
      <diagonal/>
    </border>
    <border>
      <left style="medium">
        <color rgb="FFF15D29"/>
      </left>
      <right/>
      <top style="medium">
        <color rgb="FFF15D29"/>
      </top>
      <bottom/>
      <diagonal/>
    </border>
    <border>
      <left/>
      <right/>
      <top style="medium">
        <color rgb="FFF15D29"/>
      </top>
      <bottom/>
      <diagonal/>
    </border>
    <border>
      <left/>
      <right style="medium">
        <color rgb="FFF15D29"/>
      </right>
      <top style="medium">
        <color rgb="FFF15D29"/>
      </top>
      <bottom/>
      <diagonal/>
    </border>
    <border>
      <left style="medium">
        <color rgb="FFF15D29"/>
      </left>
      <right/>
      <top/>
      <bottom/>
      <diagonal/>
    </border>
    <border>
      <left style="medium">
        <color rgb="FFF15D29"/>
      </left>
      <right/>
      <top/>
      <bottom style="medium">
        <color rgb="FFF15D29"/>
      </bottom>
      <diagonal/>
    </border>
    <border>
      <left/>
      <right/>
      <top/>
      <bottom style="medium">
        <color rgb="FFF15D29"/>
      </bottom>
      <diagonal/>
    </border>
    <border>
      <left/>
      <right style="medium">
        <color rgb="FFF15D29"/>
      </right>
      <top/>
      <bottom style="medium">
        <color rgb="FFF15D29"/>
      </bottom>
      <diagonal/>
    </border>
    <border>
      <left style="medium">
        <color rgb="FFF15D29"/>
      </left>
      <right/>
      <top style="medium">
        <color rgb="FFF15D29"/>
      </top>
      <bottom style="medium">
        <color rgb="FFF15D29"/>
      </bottom>
      <diagonal/>
    </border>
    <border>
      <left/>
      <right/>
      <top style="medium">
        <color rgb="FFF15D29"/>
      </top>
      <bottom style="medium">
        <color rgb="FFF15D29"/>
      </bottom>
      <diagonal/>
    </border>
    <border>
      <left/>
      <right style="medium">
        <color rgb="FFF15D29"/>
      </right>
      <top style="medium">
        <color rgb="FFF15D29"/>
      </top>
      <bottom style="medium">
        <color rgb="FFF15D29"/>
      </bottom>
      <diagonal/>
    </border>
    <border>
      <left/>
      <right/>
      <top/>
      <bottom style="thin">
        <color rgb="FFF15D29"/>
      </bottom>
      <diagonal/>
    </border>
    <border>
      <left/>
      <right/>
      <top style="thin">
        <color rgb="FFF15D29"/>
      </top>
      <bottom/>
      <diagonal/>
    </border>
    <border>
      <left/>
      <right/>
      <top/>
      <bottom style="thin">
        <color auto="1"/>
      </bottom>
      <diagonal/>
    </border>
    <border>
      <left/>
      <right/>
      <top style="medium">
        <color auto="1"/>
      </top>
      <bottom style="thin">
        <color auto="1"/>
      </bottom>
      <diagonal/>
    </border>
    <border>
      <left style="medium">
        <color theme="1" tint="0.14999847407452621"/>
      </left>
      <right/>
      <top/>
      <bottom/>
      <diagonal/>
    </border>
    <border>
      <left/>
      <right style="medium">
        <color theme="1" tint="0.14999847407452621"/>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F15D29"/>
      </top>
      <bottom style="medium">
        <color theme="5" tint="-0.249977111117893"/>
      </bottom>
      <diagonal/>
    </border>
  </borders>
  <cellStyleXfs count="28">
    <xf numFmtId="0" fontId="0" fillId="0" borderId="0"/>
    <xf numFmtId="0" fontId="1" fillId="0" borderId="0"/>
    <xf numFmtId="0" fontId="1" fillId="0" borderId="0"/>
    <xf numFmtId="9" fontId="2" fillId="0" borderId="0" applyFont="0" applyFill="0" applyBorder="0" applyAlignment="0" applyProtection="0"/>
    <xf numFmtId="0" fontId="43" fillId="0" borderId="0" applyNumberForma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xf numFmtId="43" fontId="58" fillId="0" borderId="0" applyFont="0" applyFill="0" applyBorder="0" applyAlignment="0" applyProtection="0"/>
  </cellStyleXfs>
  <cellXfs count="604">
    <xf numFmtId="0" fontId="0" fillId="0" borderId="0" xfId="0"/>
    <xf numFmtId="0" fontId="4" fillId="0" borderId="0" xfId="0" applyFont="1"/>
    <xf numFmtId="0" fontId="5" fillId="0" borderId="0" xfId="1" applyFont="1" applyFill="1" applyBorder="1" applyAlignment="1">
      <alignment horizontal="center"/>
    </xf>
    <xf numFmtId="0" fontId="5" fillId="0" borderId="0" xfId="1" applyNumberFormat="1" applyFont="1" applyFill="1" applyBorder="1" applyAlignment="1">
      <alignment horizontal="center"/>
    </xf>
    <xf numFmtId="0" fontId="6" fillId="0" borderId="0" xfId="0" applyFont="1"/>
    <xf numFmtId="0" fontId="5" fillId="0" borderId="0" xfId="1" applyFont="1" applyFill="1" applyBorder="1"/>
    <xf numFmtId="0" fontId="5" fillId="0" borderId="0" xfId="1" applyNumberFormat="1" applyFont="1" applyFill="1" applyBorder="1"/>
    <xf numFmtId="164" fontId="5" fillId="0" borderId="0" xfId="2" applyNumberFormat="1" applyFont="1" applyFill="1" applyBorder="1" applyAlignment="1">
      <alignment horizontal="right" wrapText="1"/>
    </xf>
    <xf numFmtId="0" fontId="5" fillId="0" borderId="0" xfId="2" applyNumberFormat="1" applyFont="1" applyFill="1" applyBorder="1" applyAlignment="1">
      <alignment horizontal="right" wrapText="1"/>
    </xf>
    <xf numFmtId="0" fontId="9" fillId="0" borderId="0" xfId="0" applyFont="1"/>
    <xf numFmtId="0" fontId="11" fillId="2" borderId="0" xfId="0" applyFont="1" applyFill="1" applyAlignment="1">
      <alignment horizontal="center" vertical="center"/>
    </xf>
    <xf numFmtId="0" fontId="4" fillId="0" borderId="0" xfId="0" applyFont="1" applyBorder="1"/>
    <xf numFmtId="0" fontId="4" fillId="0" borderId="0" xfId="0" applyNumberFormat="1" applyFont="1" applyBorder="1"/>
    <xf numFmtId="0" fontId="4" fillId="0" borderId="0" xfId="0" applyFont="1" applyBorder="1" applyAlignment="1">
      <alignment horizontal="center"/>
    </xf>
    <xf numFmtId="0" fontId="8" fillId="0" borderId="0" xfId="0" applyFont="1" applyBorder="1"/>
    <xf numFmtId="0" fontId="7" fillId="0" borderId="0" xfId="1" applyFont="1" applyFill="1" applyBorder="1" applyAlignment="1">
      <alignment horizontal="center"/>
    </xf>
    <xf numFmtId="0" fontId="7" fillId="0" borderId="0" xfId="1" applyFont="1" applyFill="1" applyBorder="1"/>
    <xf numFmtId="164" fontId="7" fillId="0" borderId="0" xfId="2" applyNumberFormat="1" applyFont="1" applyFill="1" applyBorder="1" applyAlignment="1">
      <alignment horizontal="right" wrapText="1"/>
    </xf>
    <xf numFmtId="49" fontId="7" fillId="0" borderId="0" xfId="2" applyNumberFormat="1" applyFont="1" applyFill="1" applyBorder="1" applyAlignment="1">
      <alignment horizontal="left" wrapText="1"/>
    </xf>
    <xf numFmtId="49" fontId="7" fillId="0" borderId="0" xfId="2" applyNumberFormat="1" applyFont="1" applyFill="1" applyBorder="1" applyAlignment="1">
      <alignment horizontal="right" wrapText="1"/>
    </xf>
    <xf numFmtId="0" fontId="12" fillId="0" borderId="0" xfId="0" applyFont="1" applyBorder="1" applyAlignment="1">
      <alignment horizontal="left"/>
    </xf>
    <xf numFmtId="0" fontId="13" fillId="0" borderId="0" xfId="0" applyFont="1" applyBorder="1" applyAlignment="1">
      <alignment horizontal="left"/>
    </xf>
    <xf numFmtId="164" fontId="14" fillId="0" borderId="0" xfId="2" applyNumberFormat="1" applyFont="1" applyFill="1" applyBorder="1" applyAlignment="1">
      <alignment horizontal="left" wrapText="1"/>
    </xf>
    <xf numFmtId="164" fontId="15" fillId="0" borderId="0" xfId="2" applyNumberFormat="1" applyFont="1" applyFill="1" applyBorder="1" applyAlignment="1">
      <alignment horizontal="right" wrapText="1"/>
    </xf>
    <xf numFmtId="0" fontId="15" fillId="0" borderId="0" xfId="2" applyNumberFormat="1" applyFont="1" applyFill="1" applyBorder="1" applyAlignment="1">
      <alignment horizontal="right" wrapText="1"/>
    </xf>
    <xf numFmtId="0" fontId="6" fillId="0" borderId="0" xfId="0" applyFont="1" applyBorder="1"/>
    <xf numFmtId="0" fontId="16" fillId="0" borderId="0" xfId="0" applyFont="1" applyBorder="1" applyAlignment="1">
      <alignment horizontal="left"/>
    </xf>
    <xf numFmtId="164" fontId="18" fillId="0" borderId="0" xfId="2" applyNumberFormat="1" applyFont="1" applyFill="1" applyBorder="1" applyAlignment="1">
      <alignment horizontal="right" wrapText="1"/>
    </xf>
    <xf numFmtId="0" fontId="18" fillId="0" borderId="0" xfId="2" applyNumberFormat="1" applyFont="1" applyFill="1" applyBorder="1" applyAlignment="1">
      <alignment horizontal="right" wrapText="1"/>
    </xf>
    <xf numFmtId="0" fontId="19" fillId="0" borderId="0" xfId="0" applyFont="1" applyBorder="1"/>
    <xf numFmtId="49" fontId="3" fillId="0" borderId="0" xfId="2" applyNumberFormat="1" applyFont="1" applyFill="1" applyBorder="1" applyAlignment="1">
      <alignment horizontal="left" wrapText="1"/>
    </xf>
    <xf numFmtId="49" fontId="20" fillId="0" borderId="0" xfId="2" applyNumberFormat="1" applyFont="1" applyFill="1" applyBorder="1" applyAlignment="1">
      <alignment horizontal="right" wrapText="1"/>
    </xf>
    <xf numFmtId="0" fontId="8" fillId="0" borderId="0" xfId="0" applyFont="1" applyBorder="1" applyAlignment="1">
      <alignment horizontal="right"/>
    </xf>
    <xf numFmtId="164" fontId="3" fillId="0" borderId="0" xfId="2" applyNumberFormat="1" applyFont="1" applyFill="1" applyBorder="1" applyAlignment="1">
      <alignment horizontal="left" wrapText="1"/>
    </xf>
    <xf numFmtId="0" fontId="21" fillId="0" borderId="0" xfId="0" applyFont="1" applyBorder="1" applyAlignment="1">
      <alignment horizontal="right"/>
    </xf>
    <xf numFmtId="164" fontId="17" fillId="0" borderId="0" xfId="2" applyNumberFormat="1" applyFont="1" applyFill="1" applyBorder="1" applyAlignment="1">
      <alignment horizontal="center" wrapText="1"/>
    </xf>
    <xf numFmtId="0" fontId="9" fillId="0" borderId="0" xfId="0" applyFont="1" applyBorder="1" applyAlignment="1">
      <alignment horizontal="center"/>
    </xf>
    <xf numFmtId="164" fontId="10" fillId="0" borderId="0" xfId="2" applyNumberFormat="1" applyFont="1" applyFill="1" applyBorder="1" applyAlignment="1">
      <alignment horizontal="center" wrapText="1"/>
    </xf>
    <xf numFmtId="0" fontId="6" fillId="0" borderId="0" xfId="0" applyFont="1" applyAlignment="1">
      <alignment wrapText="1"/>
    </xf>
    <xf numFmtId="0" fontId="6" fillId="6" borderId="20" xfId="0" applyFont="1" applyFill="1" applyBorder="1"/>
    <xf numFmtId="0" fontId="6" fillId="6" borderId="20" xfId="0" applyFont="1" applyFill="1" applyBorder="1" applyAlignment="1">
      <alignment wrapText="1"/>
    </xf>
    <xf numFmtId="0" fontId="6" fillId="6" borderId="21" xfId="0" applyFont="1" applyFill="1" applyBorder="1"/>
    <xf numFmtId="0" fontId="6" fillId="6" borderId="0" xfId="0" applyFont="1" applyFill="1" applyBorder="1"/>
    <xf numFmtId="0" fontId="6" fillId="6" borderId="0" xfId="0" applyFont="1" applyFill="1" applyBorder="1" applyAlignment="1">
      <alignment wrapText="1"/>
    </xf>
    <xf numFmtId="0" fontId="6" fillId="6" borderId="23" xfId="0" applyFont="1" applyFill="1" applyBorder="1"/>
    <xf numFmtId="0" fontId="6" fillId="6" borderId="25" xfId="0" applyFont="1" applyFill="1" applyBorder="1"/>
    <xf numFmtId="0" fontId="6" fillId="6" borderId="26" xfId="0" applyFont="1" applyFill="1" applyBorder="1"/>
    <xf numFmtId="0" fontId="4" fillId="6" borderId="0" xfId="0" applyFont="1" applyFill="1" applyBorder="1" applyAlignment="1">
      <alignment wrapText="1"/>
    </xf>
    <xf numFmtId="0" fontId="4" fillId="6" borderId="25" xfId="0" applyFont="1" applyFill="1" applyBorder="1" applyAlignment="1">
      <alignment wrapText="1"/>
    </xf>
    <xf numFmtId="0" fontId="6" fillId="6" borderId="22" xfId="0" applyFont="1" applyFill="1" applyBorder="1" applyAlignment="1">
      <alignment horizontal="right" vertical="top"/>
    </xf>
    <xf numFmtId="0" fontId="6" fillId="0" borderId="0" xfId="0" applyFont="1" applyAlignment="1">
      <alignment horizontal="right" vertical="top"/>
    </xf>
    <xf numFmtId="0" fontId="6" fillId="6" borderId="19" xfId="0" applyFont="1" applyFill="1" applyBorder="1" applyAlignment="1">
      <alignment horizontal="right" vertical="top"/>
    </xf>
    <xf numFmtId="0" fontId="6" fillId="6" borderId="24" xfId="0" applyFont="1" applyFill="1" applyBorder="1" applyAlignment="1">
      <alignment horizontal="right" vertical="top"/>
    </xf>
    <xf numFmtId="0" fontId="35" fillId="6" borderId="22" xfId="0" applyFont="1" applyFill="1" applyBorder="1" applyAlignment="1">
      <alignment horizontal="right" vertical="top"/>
    </xf>
    <xf numFmtId="0" fontId="34" fillId="6" borderId="0" xfId="0" applyFont="1" applyFill="1" applyBorder="1"/>
    <xf numFmtId="0" fontId="9" fillId="6" borderId="0" xfId="0" applyFont="1" applyFill="1" applyBorder="1" applyAlignment="1">
      <alignment wrapText="1"/>
    </xf>
    <xf numFmtId="0" fontId="4" fillId="6" borderId="0" xfId="0" applyFont="1" applyFill="1" applyBorder="1" applyAlignment="1">
      <alignment wrapText="1"/>
    </xf>
    <xf numFmtId="0" fontId="6" fillId="6" borderId="0" xfId="0" applyFont="1" applyFill="1" applyBorder="1" applyAlignment="1">
      <alignment wrapText="1"/>
    </xf>
    <xf numFmtId="0" fontId="6" fillId="0" borderId="0" xfId="0" applyFont="1" applyProtection="1"/>
    <xf numFmtId="0" fontId="9" fillId="0" borderId="10" xfId="0" applyFont="1" applyBorder="1" applyAlignment="1" applyProtection="1">
      <alignment horizontal="left"/>
    </xf>
    <xf numFmtId="0" fontId="21" fillId="3" borderId="7" xfId="0" applyFont="1" applyFill="1" applyBorder="1" applyAlignment="1" applyProtection="1">
      <alignment horizontal="right"/>
    </xf>
    <xf numFmtId="0" fontId="9" fillId="0" borderId="3" xfId="0" applyFont="1" applyBorder="1" applyAlignment="1" applyProtection="1">
      <alignment horizontal="left"/>
    </xf>
    <xf numFmtId="0" fontId="21" fillId="0" borderId="7" xfId="0" applyFont="1" applyBorder="1" applyAlignment="1" applyProtection="1">
      <alignment horizontal="right"/>
    </xf>
    <xf numFmtId="0" fontId="26" fillId="3" borderId="0" xfId="0" applyFont="1" applyFill="1" applyBorder="1" applyAlignment="1" applyProtection="1">
      <alignment horizontal="right"/>
    </xf>
    <xf numFmtId="0" fontId="26" fillId="0" borderId="11" xfId="0" applyFont="1" applyBorder="1" applyAlignment="1" applyProtection="1">
      <alignment horizontal="left"/>
    </xf>
    <xf numFmtId="0" fontId="26" fillId="3" borderId="8" xfId="0" applyFont="1" applyFill="1" applyBorder="1" applyAlignment="1" applyProtection="1">
      <alignment horizontal="right"/>
    </xf>
    <xf numFmtId="0" fontId="26" fillId="0" borderId="0" xfId="0" applyFont="1" applyBorder="1" applyAlignment="1" applyProtection="1">
      <alignment horizontal="left"/>
    </xf>
    <xf numFmtId="9" fontId="26" fillId="0" borderId="8" xfId="0" applyNumberFormat="1" applyFont="1" applyFill="1" applyBorder="1" applyAlignment="1" applyProtection="1">
      <alignment horizontal="right"/>
    </xf>
    <xf numFmtId="0" fontId="35" fillId="0" borderId="0" xfId="0" applyFont="1" applyAlignment="1" applyProtection="1">
      <alignment horizontal="right"/>
    </xf>
    <xf numFmtId="0" fontId="9" fillId="0" borderId="11" xfId="0" applyFont="1" applyBorder="1" applyAlignment="1" applyProtection="1">
      <alignment horizontal="left"/>
    </xf>
    <xf numFmtId="0" fontId="9" fillId="0" borderId="0" xfId="0" applyFont="1" applyBorder="1" applyAlignment="1" applyProtection="1">
      <alignment horizontal="left"/>
    </xf>
    <xf numFmtId="9" fontId="41" fillId="3" borderId="0" xfId="3" applyFont="1" applyFill="1" applyBorder="1" applyAlignment="1" applyProtection="1">
      <alignment horizontal="right"/>
    </xf>
    <xf numFmtId="0" fontId="9" fillId="0" borderId="0" xfId="0" applyFont="1" applyProtection="1"/>
    <xf numFmtId="0" fontId="26" fillId="0" borderId="8" xfId="0" applyFont="1" applyBorder="1" applyAlignment="1" applyProtection="1">
      <alignment horizontal="right"/>
    </xf>
    <xf numFmtId="9" fontId="26" fillId="3" borderId="8" xfId="3" applyFont="1" applyFill="1" applyBorder="1" applyAlignment="1" applyProtection="1">
      <alignment horizontal="right"/>
    </xf>
    <xf numFmtId="0" fontId="6" fillId="0" borderId="0" xfId="0" applyFont="1" applyBorder="1" applyProtection="1"/>
    <xf numFmtId="0" fontId="24" fillId="0" borderId="0" xfId="0" applyFont="1" applyBorder="1" applyAlignment="1" applyProtection="1">
      <alignment horizontal="center"/>
    </xf>
    <xf numFmtId="9" fontId="41" fillId="3" borderId="8" xfId="0" applyNumberFormat="1" applyFont="1" applyFill="1" applyBorder="1" applyAlignment="1" applyProtection="1">
      <alignment horizontal="right"/>
    </xf>
    <xf numFmtId="9" fontId="41" fillId="0" borderId="8" xfId="3" applyFont="1" applyFill="1" applyBorder="1" applyAlignment="1" applyProtection="1">
      <alignment horizontal="right"/>
    </xf>
    <xf numFmtId="9" fontId="41" fillId="0" borderId="8" xfId="0" applyNumberFormat="1" applyFont="1" applyFill="1" applyBorder="1" applyAlignment="1" applyProtection="1">
      <alignment horizontal="right"/>
    </xf>
    <xf numFmtId="9" fontId="41" fillId="3" borderId="0" xfId="0" applyNumberFormat="1" applyFont="1" applyFill="1" applyBorder="1" applyAlignment="1" applyProtection="1">
      <alignment horizontal="right"/>
    </xf>
    <xf numFmtId="9" fontId="26" fillId="3" borderId="8" xfId="0" applyNumberFormat="1" applyFont="1" applyFill="1" applyBorder="1" applyAlignment="1" applyProtection="1">
      <alignment horizontal="right" vertical="center"/>
    </xf>
    <xf numFmtId="9" fontId="26" fillId="0" borderId="8" xfId="3" applyFont="1" applyFill="1" applyBorder="1" applyAlignment="1" applyProtection="1">
      <alignment horizontal="right"/>
    </xf>
    <xf numFmtId="9" fontId="26" fillId="3" borderId="8" xfId="0" applyNumberFormat="1" applyFont="1" applyFill="1" applyBorder="1" applyAlignment="1" applyProtection="1">
      <alignment horizontal="right"/>
    </xf>
    <xf numFmtId="9" fontId="26" fillId="3" borderId="0" xfId="0" applyNumberFormat="1" applyFont="1" applyFill="1" applyBorder="1" applyAlignment="1" applyProtection="1">
      <alignment horizontal="right"/>
    </xf>
    <xf numFmtId="9" fontId="21" fillId="0" borderId="8" xfId="3" applyFont="1" applyFill="1" applyBorder="1" applyAlignment="1" applyProtection="1">
      <alignment horizontal="right"/>
    </xf>
    <xf numFmtId="9" fontId="21" fillId="3" borderId="8" xfId="0" applyNumberFormat="1" applyFont="1" applyFill="1" applyBorder="1" applyAlignment="1" applyProtection="1">
      <alignment horizontal="right"/>
    </xf>
    <xf numFmtId="9" fontId="21" fillId="0" borderId="8" xfId="0" applyNumberFormat="1" applyFont="1" applyFill="1" applyBorder="1" applyAlignment="1" applyProtection="1">
      <alignment horizontal="right"/>
    </xf>
    <xf numFmtId="9" fontId="21" fillId="3" borderId="0" xfId="0" applyNumberFormat="1" applyFont="1" applyFill="1" applyBorder="1" applyAlignment="1" applyProtection="1">
      <alignment horizontal="right"/>
    </xf>
    <xf numFmtId="9" fontId="26" fillId="3" borderId="0" xfId="3" applyFont="1" applyFill="1" applyBorder="1" applyAlignment="1" applyProtection="1">
      <alignment horizontal="right"/>
    </xf>
    <xf numFmtId="9" fontId="8" fillId="3" borderId="8" xfId="3" applyFont="1" applyFill="1" applyBorder="1" applyAlignment="1" applyProtection="1">
      <alignment horizontal="right"/>
    </xf>
    <xf numFmtId="9" fontId="8" fillId="0" borderId="8" xfId="0" applyNumberFormat="1" applyFont="1" applyFill="1" applyBorder="1" applyAlignment="1" applyProtection="1">
      <alignment horizontal="right"/>
    </xf>
    <xf numFmtId="9" fontId="8" fillId="3" borderId="8" xfId="0" applyNumberFormat="1" applyFont="1" applyFill="1" applyBorder="1" applyAlignment="1" applyProtection="1">
      <alignment horizontal="right"/>
    </xf>
    <xf numFmtId="9" fontId="8" fillId="3" borderId="0" xfId="3" applyFont="1" applyFill="1" applyBorder="1" applyAlignment="1" applyProtection="1">
      <alignment horizontal="right"/>
    </xf>
    <xf numFmtId="0" fontId="26" fillId="3" borderId="8" xfId="0" applyFont="1" applyFill="1" applyBorder="1" applyAlignment="1" applyProtection="1">
      <alignment horizontal="right" vertical="center"/>
    </xf>
    <xf numFmtId="9" fontId="26" fillId="0" borderId="8" xfId="0" applyNumberFormat="1" applyFont="1" applyFill="1" applyBorder="1" applyAlignment="1" applyProtection="1">
      <alignment horizontal="right" vertical="center"/>
    </xf>
    <xf numFmtId="9" fontId="26" fillId="3" borderId="0" xfId="3" applyFont="1" applyFill="1" applyBorder="1" applyAlignment="1" applyProtection="1">
      <alignment horizontal="right" vertical="center"/>
    </xf>
    <xf numFmtId="0" fontId="8" fillId="3" borderId="9" xfId="0" applyFont="1" applyFill="1" applyBorder="1" applyAlignment="1" applyProtection="1">
      <alignment horizontal="right"/>
    </xf>
    <xf numFmtId="0" fontId="6" fillId="0" borderId="1" xfId="0" applyFont="1" applyBorder="1" applyProtection="1"/>
    <xf numFmtId="0" fontId="8" fillId="0" borderId="9" xfId="0" applyFont="1" applyBorder="1" applyAlignment="1" applyProtection="1">
      <alignment horizontal="right"/>
    </xf>
    <xf numFmtId="0" fontId="8" fillId="3" borderId="1" xfId="0" applyFont="1" applyFill="1" applyBorder="1" applyAlignment="1" applyProtection="1">
      <alignment horizontal="right"/>
    </xf>
    <xf numFmtId="0" fontId="9" fillId="0" borderId="0" xfId="0" applyFont="1" applyAlignment="1" applyProtection="1">
      <alignment horizontal="right"/>
    </xf>
    <xf numFmtId="0" fontId="8" fillId="0" borderId="0" xfId="0" applyFont="1" applyAlignment="1" applyProtection="1">
      <alignment horizontal="right"/>
    </xf>
    <xf numFmtId="0" fontId="8" fillId="0" borderId="0" xfId="0" applyFont="1" applyBorder="1" applyAlignment="1" applyProtection="1">
      <alignment horizontal="right"/>
    </xf>
    <xf numFmtId="0" fontId="11" fillId="2" borderId="15" xfId="0" applyFont="1" applyFill="1" applyBorder="1" applyProtection="1"/>
    <xf numFmtId="0" fontId="23" fillId="0" borderId="11" xfId="0" applyFont="1" applyBorder="1" applyAlignment="1" applyProtection="1">
      <alignment horizontal="right"/>
    </xf>
    <xf numFmtId="0" fontId="38" fillId="0" borderId="0" xfId="0" applyFont="1" applyAlignment="1" applyProtection="1">
      <alignment horizontal="right"/>
    </xf>
    <xf numFmtId="0" fontId="28" fillId="0" borderId="11" xfId="0" applyFont="1" applyBorder="1" applyAlignment="1" applyProtection="1">
      <alignment horizontal="left"/>
    </xf>
    <xf numFmtId="0" fontId="24" fillId="0" borderId="0" xfId="0" applyFont="1" applyAlignment="1" applyProtection="1">
      <alignment horizontal="center"/>
    </xf>
    <xf numFmtId="0" fontId="28" fillId="0" borderId="11" xfId="0" applyFont="1" applyBorder="1" applyAlignment="1" applyProtection="1">
      <alignment horizontal="center"/>
    </xf>
    <xf numFmtId="0" fontId="24" fillId="0" borderId="11" xfId="0" applyFont="1" applyBorder="1" applyAlignment="1" applyProtection="1">
      <alignment horizontal="right"/>
    </xf>
    <xf numFmtId="0" fontId="26" fillId="0" borderId="11" xfId="0" applyFont="1" applyBorder="1" applyAlignment="1" applyProtection="1">
      <alignment horizontal="right"/>
    </xf>
    <xf numFmtId="0" fontId="8" fillId="0" borderId="0" xfId="0" applyFont="1" applyProtection="1"/>
    <xf numFmtId="0" fontId="6" fillId="0" borderId="12" xfId="0" applyFont="1" applyBorder="1" applyProtection="1"/>
    <xf numFmtId="0" fontId="9" fillId="0" borderId="10" xfId="0" applyFont="1" applyBorder="1" applyProtection="1"/>
    <xf numFmtId="0" fontId="26" fillId="3" borderId="7" xfId="0" applyFont="1" applyFill="1" applyBorder="1" applyAlignment="1" applyProtection="1">
      <alignment horizontal="right"/>
    </xf>
    <xf numFmtId="0" fontId="24" fillId="0" borderId="0" xfId="0" applyFont="1" applyBorder="1" applyAlignment="1" applyProtection="1">
      <alignment horizontal="right"/>
    </xf>
    <xf numFmtId="0" fontId="26" fillId="0" borderId="7" xfId="0" applyFont="1" applyBorder="1" applyAlignment="1" applyProtection="1">
      <alignment horizontal="right"/>
    </xf>
    <xf numFmtId="0" fontId="9" fillId="0" borderId="11" xfId="0" applyFont="1" applyBorder="1" applyProtection="1"/>
    <xf numFmtId="165" fontId="8" fillId="3" borderId="8" xfId="0" applyNumberFormat="1" applyFont="1" applyFill="1" applyBorder="1" applyAlignment="1" applyProtection="1">
      <alignment horizontal="right" vertical="center"/>
    </xf>
    <xf numFmtId="0" fontId="9" fillId="0" borderId="0" xfId="0" applyFont="1" applyBorder="1" applyAlignment="1" applyProtection="1">
      <alignment horizontal="right"/>
    </xf>
    <xf numFmtId="165" fontId="26" fillId="0" borderId="8" xfId="0" applyNumberFormat="1" applyFont="1" applyBorder="1" applyAlignment="1" applyProtection="1">
      <alignment horizontal="right"/>
    </xf>
    <xf numFmtId="165" fontId="26" fillId="3" borderId="0" xfId="0" applyNumberFormat="1" applyFont="1" applyFill="1" applyBorder="1" applyAlignment="1" applyProtection="1">
      <alignment horizontal="right"/>
    </xf>
    <xf numFmtId="0" fontId="8" fillId="3" borderId="8" xfId="0" applyFont="1" applyFill="1" applyBorder="1" applyAlignment="1" applyProtection="1">
      <alignment horizontal="right"/>
    </xf>
    <xf numFmtId="0" fontId="8" fillId="0" borderId="8" xfId="0" applyFont="1" applyBorder="1" applyAlignment="1" applyProtection="1">
      <alignment horizontal="right"/>
    </xf>
    <xf numFmtId="0" fontId="8" fillId="3" borderId="0" xfId="0" applyFont="1" applyFill="1" applyBorder="1" applyAlignment="1" applyProtection="1">
      <alignment horizontal="right"/>
    </xf>
    <xf numFmtId="0" fontId="24" fillId="0" borderId="11" xfId="0" applyFont="1" applyBorder="1" applyAlignment="1" applyProtection="1">
      <alignment horizontal="center"/>
    </xf>
    <xf numFmtId="165" fontId="8" fillId="0" borderId="8" xfId="0" applyNumberFormat="1" applyFont="1" applyBorder="1" applyAlignment="1" applyProtection="1">
      <alignment horizontal="right"/>
    </xf>
    <xf numFmtId="165" fontId="8" fillId="3" borderId="0" xfId="0" applyNumberFormat="1" applyFont="1" applyFill="1" applyBorder="1" applyAlignment="1" applyProtection="1">
      <alignment horizontal="right"/>
    </xf>
    <xf numFmtId="165" fontId="8" fillId="3" borderId="8" xfId="0" applyNumberFormat="1" applyFont="1" applyFill="1" applyBorder="1" applyAlignment="1" applyProtection="1">
      <alignment horizontal="right"/>
    </xf>
    <xf numFmtId="0" fontId="9" fillId="0" borderId="0" xfId="0" applyFont="1" applyBorder="1" applyProtection="1"/>
    <xf numFmtId="0" fontId="23" fillId="0" borderId="14" xfId="0" applyFont="1" applyBorder="1" applyAlignment="1" applyProtection="1">
      <alignment horizontal="right"/>
    </xf>
    <xf numFmtId="165" fontId="8" fillId="3" borderId="13" xfId="0" applyNumberFormat="1" applyFont="1" applyFill="1" applyBorder="1" applyAlignment="1" applyProtection="1">
      <alignment horizontal="right"/>
    </xf>
    <xf numFmtId="165" fontId="8" fillId="0" borderId="13" xfId="0" applyNumberFormat="1" applyFont="1" applyBorder="1" applyAlignment="1" applyProtection="1">
      <alignment horizontal="right"/>
    </xf>
    <xf numFmtId="165" fontId="8" fillId="3" borderId="6" xfId="0" applyNumberFormat="1" applyFont="1" applyFill="1" applyBorder="1" applyAlignment="1" applyProtection="1">
      <alignment horizontal="right"/>
    </xf>
    <xf numFmtId="9" fontId="5" fillId="5" borderId="0" xfId="3" applyFont="1" applyFill="1" applyBorder="1" applyAlignment="1" applyProtection="1">
      <alignment horizontal="center" vertical="center" wrapText="1"/>
      <protection locked="0"/>
    </xf>
    <xf numFmtId="166" fontId="4" fillId="0" borderId="0" xfId="0" applyNumberFormat="1" applyFont="1" applyBorder="1" applyAlignment="1">
      <alignment vertical="center"/>
    </xf>
    <xf numFmtId="0" fontId="43" fillId="0" borderId="0" xfId="4" applyAlignment="1" applyProtection="1">
      <alignment horizontal="right"/>
    </xf>
    <xf numFmtId="0" fontId="0" fillId="0" borderId="0" xfId="0" applyAlignment="1">
      <alignment wrapText="1"/>
    </xf>
    <xf numFmtId="0" fontId="9" fillId="6" borderId="0" xfId="0" applyFont="1" applyFill="1" applyBorder="1" applyAlignment="1" applyProtection="1">
      <alignment wrapText="1"/>
      <protection locked="0"/>
    </xf>
    <xf numFmtId="0" fontId="47" fillId="0" borderId="0" xfId="0" applyFont="1" applyAlignment="1">
      <alignment wrapText="1"/>
    </xf>
    <xf numFmtId="0" fontId="9" fillId="0" borderId="0" xfId="0" applyFont="1" applyAlignment="1">
      <alignment horizontal="center" vertical="center"/>
    </xf>
    <xf numFmtId="0" fontId="11" fillId="2" borderId="33" xfId="0" applyFont="1" applyFill="1" applyBorder="1" applyAlignment="1">
      <alignment horizontal="center" vertical="center"/>
    </xf>
    <xf numFmtId="0" fontId="11" fillId="2" borderId="33" xfId="0" applyFont="1" applyFill="1" applyBorder="1" applyAlignment="1">
      <alignment horizontal="center" wrapText="1"/>
    </xf>
    <xf numFmtId="0" fontId="12" fillId="0" borderId="33" xfId="0" applyFont="1" applyBorder="1" applyAlignment="1">
      <alignment horizontal="center" vertical="center"/>
    </xf>
    <xf numFmtId="0" fontId="47" fillId="0" borderId="33" xfId="0" applyFont="1" applyBorder="1" applyAlignment="1">
      <alignment wrapText="1"/>
    </xf>
    <xf numFmtId="0" fontId="12" fillId="0" borderId="33" xfId="0" applyFont="1" applyBorder="1" applyAlignment="1">
      <alignment horizontal="center" vertical="center" wrapText="1"/>
    </xf>
    <xf numFmtId="0" fontId="43" fillId="0" borderId="0" xfId="4" applyAlignment="1">
      <alignment vertical="center"/>
    </xf>
    <xf numFmtId="0" fontId="0" fillId="0" borderId="0" xfId="0" applyAlignment="1">
      <alignment horizontal="center"/>
    </xf>
    <xf numFmtId="0" fontId="0" fillId="0" borderId="0" xfId="0" applyBorder="1"/>
    <xf numFmtId="9" fontId="4" fillId="5" borderId="0" xfId="3" applyFont="1" applyFill="1" applyBorder="1" applyAlignment="1" applyProtection="1">
      <alignment horizontal="center" vertical="center"/>
      <protection locked="0"/>
    </xf>
    <xf numFmtId="0" fontId="22" fillId="4" borderId="35" xfId="0" applyFont="1" applyFill="1" applyBorder="1" applyAlignment="1" applyProtection="1"/>
    <xf numFmtId="0" fontId="22" fillId="4" borderId="34" xfId="0" applyFont="1" applyFill="1" applyBorder="1" applyAlignment="1" applyProtection="1">
      <alignment horizontal="center"/>
    </xf>
    <xf numFmtId="0" fontId="11" fillId="2" borderId="0" xfId="0" applyFont="1" applyFill="1" applyAlignment="1">
      <alignment vertical="center"/>
    </xf>
    <xf numFmtId="0" fontId="9" fillId="0" borderId="0" xfId="0" applyFont="1" applyBorder="1"/>
    <xf numFmtId="0" fontId="6" fillId="0" borderId="0" xfId="0" applyFont="1" applyBorder="1" applyAlignment="1">
      <alignment horizontal="right"/>
    </xf>
    <xf numFmtId="0" fontId="23" fillId="0" borderId="0" xfId="0" applyFont="1" applyBorder="1"/>
    <xf numFmtId="0" fontId="23" fillId="0" borderId="0" xfId="0" applyFont="1" applyBorder="1" applyAlignment="1">
      <alignment horizontal="left"/>
    </xf>
    <xf numFmtId="0" fontId="22" fillId="4" borderId="5" xfId="0" applyFont="1" applyFill="1" applyBorder="1" applyAlignment="1" applyProtection="1">
      <alignment horizontal="center"/>
    </xf>
    <xf numFmtId="0" fontId="9" fillId="0" borderId="0" xfId="0" applyFont="1" applyBorder="1" applyAlignment="1" applyProtection="1">
      <alignment horizontal="center"/>
    </xf>
    <xf numFmtId="0" fontId="8" fillId="0" borderId="6" xfId="0" applyFont="1" applyBorder="1" applyAlignment="1" applyProtection="1">
      <alignment horizontal="right"/>
    </xf>
    <xf numFmtId="0" fontId="11" fillId="2" borderId="14" xfId="0" applyFont="1" applyFill="1" applyBorder="1" applyProtection="1"/>
    <xf numFmtId="0" fontId="22" fillId="4" borderId="1" xfId="0" applyFont="1" applyFill="1" applyBorder="1" applyAlignment="1" applyProtection="1"/>
    <xf numFmtId="0" fontId="46" fillId="0" borderId="0" xfId="4" quotePrefix="1" applyFont="1" applyFill="1" applyBorder="1" applyAlignment="1">
      <alignment horizontal="center" vertical="center"/>
    </xf>
    <xf numFmtId="0" fontId="43" fillId="0" borderId="0" xfId="4" quotePrefix="1" applyFill="1" applyBorder="1" applyAlignment="1">
      <alignment horizontal="center" vertical="center"/>
    </xf>
    <xf numFmtId="9" fontId="0" fillId="0" borderId="0" xfId="0" applyNumberFormat="1"/>
    <xf numFmtId="0" fontId="9" fillId="0" borderId="0" xfId="0" applyFont="1" applyBorder="1" applyAlignment="1" applyProtection="1"/>
    <xf numFmtId="166" fontId="6"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9" fontId="23" fillId="3" borderId="1" xfId="0" applyNumberFormat="1" applyFont="1" applyFill="1" applyBorder="1" applyAlignment="1" applyProtection="1">
      <alignment horizontal="center" vertical="center"/>
    </xf>
    <xf numFmtId="9" fontId="26" fillId="3" borderId="9" xfId="0" applyNumberFormat="1" applyFont="1" applyFill="1" applyBorder="1" applyAlignment="1" applyProtection="1">
      <alignment horizontal="right" vertical="center"/>
    </xf>
    <xf numFmtId="9" fontId="26" fillId="3" borderId="9" xfId="0" applyNumberFormat="1" applyFont="1" applyFill="1" applyBorder="1" applyAlignment="1" applyProtection="1">
      <alignment horizontal="left"/>
    </xf>
    <xf numFmtId="166" fontId="19" fillId="9" borderId="44" xfId="0" applyNumberFormat="1" applyFont="1" applyFill="1" applyBorder="1" applyAlignment="1">
      <alignment horizontal="left" vertical="center"/>
    </xf>
    <xf numFmtId="166" fontId="6" fillId="9" borderId="44" xfId="0" applyNumberFormat="1" applyFont="1" applyFill="1" applyBorder="1" applyAlignment="1">
      <alignment horizontal="left" vertical="center"/>
    </xf>
    <xf numFmtId="0" fontId="32" fillId="2" borderId="52" xfId="0" applyFont="1" applyFill="1" applyBorder="1" applyAlignment="1">
      <alignment horizontal="center" vertical="center"/>
    </xf>
    <xf numFmtId="166" fontId="19" fillId="0" borderId="53" xfId="0" applyNumberFormat="1" applyFont="1" applyFill="1" applyBorder="1" applyAlignment="1">
      <alignment horizontal="left" vertical="center"/>
    </xf>
    <xf numFmtId="166" fontId="19" fillId="0" borderId="46" xfId="0" applyNumberFormat="1" applyFont="1" applyBorder="1" applyAlignment="1">
      <alignment horizontal="left" vertical="center"/>
    </xf>
    <xf numFmtId="166" fontId="19" fillId="9" borderId="47" xfId="0" applyNumberFormat="1" applyFont="1" applyFill="1" applyBorder="1" applyAlignment="1">
      <alignment horizontal="left" vertical="center"/>
    </xf>
    <xf numFmtId="166" fontId="19" fillId="0" borderId="50" xfId="0" applyNumberFormat="1" applyFont="1" applyBorder="1" applyAlignment="1">
      <alignment horizontal="left" vertical="center"/>
    </xf>
    <xf numFmtId="166" fontId="19" fillId="9" borderId="51" xfId="0" applyNumberFormat="1"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49" fontId="4" fillId="0" borderId="0" xfId="0" applyNumberFormat="1" applyFont="1" applyBorder="1" applyAlignment="1" applyProtection="1">
      <alignment vertical="center"/>
    </xf>
    <xf numFmtId="0" fontId="8" fillId="0" borderId="0" xfId="0" applyFont="1" applyBorder="1" applyAlignment="1" applyProtection="1">
      <alignment vertical="center"/>
    </xf>
    <xf numFmtId="166" fontId="4" fillId="0" borderId="0" xfId="0" applyNumberFormat="1" applyFont="1" applyFill="1" applyBorder="1" applyAlignment="1" applyProtection="1">
      <alignment vertical="center"/>
    </xf>
    <xf numFmtId="9" fontId="4" fillId="0" borderId="0" xfId="3" applyFont="1" applyBorder="1" applyAlignment="1" applyProtection="1">
      <alignment horizontal="center" vertical="center"/>
    </xf>
    <xf numFmtId="166" fontId="4" fillId="0" borderId="0" xfId="0" applyNumberFormat="1" applyFont="1" applyBorder="1" applyAlignment="1" applyProtection="1">
      <alignment vertical="center"/>
    </xf>
    <xf numFmtId="0" fontId="4" fillId="0" borderId="0" xfId="0" applyFont="1" applyFill="1" applyBorder="1" applyAlignment="1" applyProtection="1">
      <alignment vertical="center"/>
    </xf>
    <xf numFmtId="0" fontId="4" fillId="0" borderId="0" xfId="0" applyNumberFormat="1" applyFont="1" applyFill="1" applyBorder="1" applyAlignment="1" applyProtection="1">
      <alignment vertical="center"/>
    </xf>
    <xf numFmtId="9" fontId="4" fillId="0" borderId="0" xfId="3" applyFont="1" applyBorder="1" applyAlignment="1" applyProtection="1">
      <alignment vertical="center"/>
    </xf>
    <xf numFmtId="0" fontId="7" fillId="0" borderId="0" xfId="1" applyFont="1" applyFill="1" applyBorder="1" applyAlignment="1" applyProtection="1">
      <alignment vertical="center"/>
    </xf>
    <xf numFmtId="0" fontId="32" fillId="0" borderId="0" xfId="0" applyFont="1" applyFill="1" applyBorder="1" applyAlignment="1" applyProtection="1">
      <alignment vertical="center"/>
    </xf>
    <xf numFmtId="166" fontId="32" fillId="2" borderId="45" xfId="0" applyNumberFormat="1" applyFont="1" applyFill="1" applyBorder="1" applyAlignment="1" applyProtection="1">
      <alignment horizontal="center" vertical="center"/>
    </xf>
    <xf numFmtId="44" fontId="32" fillId="2" borderId="47" xfId="0" applyNumberFormat="1" applyFont="1" applyFill="1" applyBorder="1" applyAlignment="1" applyProtection="1">
      <alignment horizontal="center" vertical="center"/>
    </xf>
    <xf numFmtId="166" fontId="32" fillId="2" borderId="48" xfId="0" applyNumberFormat="1"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44" fontId="32" fillId="2" borderId="0" xfId="0" applyNumberFormat="1" applyFont="1" applyFill="1" applyBorder="1" applyAlignment="1" applyProtection="1">
      <alignment horizontal="center" vertical="center"/>
    </xf>
    <xf numFmtId="166" fontId="32" fillId="2" borderId="0" xfId="0" applyNumberFormat="1" applyFont="1" applyFill="1" applyBorder="1" applyAlignment="1" applyProtection="1">
      <alignment horizontal="center" vertical="center"/>
    </xf>
    <xf numFmtId="0" fontId="32" fillId="2" borderId="44" xfId="0" applyFont="1" applyFill="1" applyBorder="1" applyAlignment="1" applyProtection="1">
      <alignment horizontal="center" vertical="center"/>
    </xf>
    <xf numFmtId="0" fontId="46" fillId="0" borderId="0" xfId="4" quotePrefix="1" applyFont="1" applyFill="1" applyBorder="1" applyAlignment="1" applyProtection="1">
      <alignment horizontal="right" vertical="center"/>
    </xf>
    <xf numFmtId="166" fontId="16" fillId="0" borderId="0" xfId="0" applyNumberFormat="1" applyFont="1" applyBorder="1" applyAlignment="1" applyProtection="1">
      <alignment horizontal="left" vertical="center"/>
    </xf>
    <xf numFmtId="0" fontId="45" fillId="0" borderId="0" xfId="0" applyFont="1" applyAlignment="1" applyProtection="1">
      <alignment horizontal="right" vertical="center"/>
    </xf>
    <xf numFmtId="0" fontId="45" fillId="0" borderId="0" xfId="0" applyFont="1" applyBorder="1" applyAlignment="1" applyProtection="1">
      <alignment vertical="center"/>
    </xf>
    <xf numFmtId="0" fontId="43" fillId="0" borderId="0" xfId="4" quotePrefix="1" applyFill="1" applyBorder="1" applyAlignment="1" applyProtection="1">
      <alignment horizontal="right" vertical="center"/>
    </xf>
    <xf numFmtId="44" fontId="50" fillId="0" borderId="44" xfId="0" applyNumberFormat="1" applyFont="1" applyBorder="1" applyAlignment="1" applyProtection="1">
      <alignment horizontal="left" vertical="center"/>
    </xf>
    <xf numFmtId="44" fontId="50" fillId="0" borderId="50" xfId="5" applyFont="1" applyBorder="1" applyAlignment="1" applyProtection="1">
      <alignment horizontal="right" vertical="center"/>
    </xf>
    <xf numFmtId="0" fontId="9" fillId="0" borderId="0" xfId="0" applyFont="1" applyFill="1" applyBorder="1" applyAlignment="1" applyProtection="1">
      <alignment vertical="center"/>
    </xf>
    <xf numFmtId="9" fontId="4" fillId="0" borderId="0" xfId="3" applyFont="1" applyFill="1" applyBorder="1" applyAlignment="1" applyProtection="1">
      <alignment horizontal="center" vertical="center"/>
    </xf>
    <xf numFmtId="44" fontId="4" fillId="0" borderId="0" xfId="0" applyNumberFormat="1" applyFont="1" applyFill="1" applyBorder="1" applyAlignment="1" applyProtection="1">
      <alignment vertical="center"/>
    </xf>
    <xf numFmtId="9" fontId="4" fillId="0" borderId="0" xfId="3" applyFont="1" applyFill="1" applyBorder="1" applyAlignment="1" applyProtection="1">
      <alignment vertical="center"/>
    </xf>
    <xf numFmtId="0" fontId="32" fillId="2" borderId="48"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31" fillId="2" borderId="49" xfId="0" applyFont="1" applyFill="1" applyBorder="1" applyAlignment="1" applyProtection="1">
      <alignment horizontal="center" vertical="center"/>
    </xf>
    <xf numFmtId="0" fontId="31" fillId="2" borderId="50" xfId="0" applyFont="1" applyFill="1" applyBorder="1" applyAlignment="1" applyProtection="1">
      <alignment horizontal="center" vertical="center"/>
    </xf>
    <xf numFmtId="0" fontId="31" fillId="2" borderId="51" xfId="0" applyFont="1" applyFill="1" applyBorder="1" applyAlignment="1" applyProtection="1">
      <alignment horizontal="center" vertical="center"/>
    </xf>
    <xf numFmtId="166" fontId="31" fillId="2" borderId="49" xfId="0" applyNumberFormat="1" applyFont="1" applyFill="1" applyBorder="1" applyAlignment="1" applyProtection="1">
      <alignment horizontal="center" vertical="center"/>
    </xf>
    <xf numFmtId="44" fontId="31" fillId="2" borderId="50" xfId="0" applyNumberFormat="1" applyFont="1" applyFill="1" applyBorder="1" applyAlignment="1" applyProtection="1">
      <alignment horizontal="center" vertical="center"/>
    </xf>
    <xf numFmtId="166" fontId="31" fillId="2" borderId="50" xfId="0" applyNumberFormat="1" applyFont="1" applyFill="1" applyBorder="1" applyAlignment="1" applyProtection="1">
      <alignment horizontal="center" vertical="center"/>
    </xf>
    <xf numFmtId="166" fontId="31" fillId="2" borderId="25" xfId="0" applyNumberFormat="1" applyFont="1" applyFill="1" applyBorder="1" applyAlignment="1" applyProtection="1">
      <alignment horizontal="center" vertical="center"/>
    </xf>
    <xf numFmtId="0" fontId="31" fillId="2" borderId="25" xfId="0" applyFont="1" applyFill="1" applyBorder="1" applyAlignment="1" applyProtection="1">
      <alignment horizontal="center" vertical="center"/>
    </xf>
    <xf numFmtId="44" fontId="31" fillId="2" borderId="25" xfId="0" applyNumberFormat="1" applyFont="1" applyFill="1" applyBorder="1" applyAlignment="1" applyProtection="1">
      <alignment horizontal="center" vertical="center"/>
    </xf>
    <xf numFmtId="0" fontId="31" fillId="2" borderId="26" xfId="0" applyFont="1" applyFill="1" applyBorder="1" applyAlignment="1" applyProtection="1">
      <alignment horizontal="center" vertical="center"/>
    </xf>
    <xf numFmtId="166" fontId="31" fillId="2" borderId="24" xfId="0" applyNumberFormat="1" applyFont="1" applyFill="1" applyBorder="1" applyAlignment="1" applyProtection="1">
      <alignment horizontal="center" vertical="center"/>
    </xf>
    <xf numFmtId="0" fontId="16" fillId="0" borderId="0" xfId="0" applyFont="1" applyBorder="1" applyAlignment="1" applyProtection="1">
      <alignment horizontal="left" vertical="center"/>
    </xf>
    <xf numFmtId="49" fontId="48" fillId="7" borderId="0" xfId="0" applyNumberFormat="1" applyFont="1" applyFill="1" applyBorder="1" applyAlignment="1" applyProtection="1">
      <alignment horizontal="left" vertical="center"/>
    </xf>
    <xf numFmtId="0" fontId="48" fillId="7" borderId="0" xfId="0" applyFont="1" applyFill="1" applyBorder="1" applyAlignment="1" applyProtection="1">
      <alignment horizontal="left" vertical="center"/>
    </xf>
    <xf numFmtId="164" fontId="49" fillId="7" borderId="0" xfId="2" applyNumberFormat="1" applyFont="1" applyFill="1" applyBorder="1" applyAlignment="1" applyProtection="1">
      <alignment horizontal="left" vertical="center" wrapText="1"/>
    </xf>
    <xf numFmtId="166" fontId="48" fillId="7" borderId="0" xfId="0" applyNumberFormat="1" applyFont="1" applyFill="1" applyBorder="1" applyAlignment="1" applyProtection="1">
      <alignment horizontal="left" vertical="center"/>
    </xf>
    <xf numFmtId="9" fontId="48" fillId="7" borderId="0" xfId="3" applyFont="1" applyFill="1" applyBorder="1" applyAlignment="1" applyProtection="1">
      <alignment horizontal="left" vertical="center"/>
    </xf>
    <xf numFmtId="9" fontId="49" fillId="7" borderId="0" xfId="3" applyFont="1" applyFill="1" applyBorder="1" applyAlignment="1" applyProtection="1">
      <alignment horizontal="left" vertical="center"/>
    </xf>
    <xf numFmtId="166" fontId="48" fillId="3" borderId="0" xfId="0" applyNumberFormat="1" applyFont="1" applyFill="1" applyBorder="1" applyAlignment="1" applyProtection="1">
      <alignment horizontal="left" vertical="center"/>
    </xf>
    <xf numFmtId="44" fontId="48" fillId="3" borderId="0" xfId="0" applyNumberFormat="1" applyFont="1" applyFill="1" applyBorder="1" applyAlignment="1" applyProtection="1">
      <alignment horizontal="left" vertical="center"/>
    </xf>
    <xf numFmtId="166" fontId="48" fillId="0" borderId="0" xfId="0" applyNumberFormat="1" applyFont="1" applyBorder="1" applyAlignment="1" applyProtection="1">
      <alignment horizontal="left" vertical="center"/>
    </xf>
    <xf numFmtId="0" fontId="48" fillId="0" borderId="0" xfId="0" applyFont="1" applyBorder="1" applyAlignment="1" applyProtection="1">
      <alignment horizontal="left" vertical="center"/>
    </xf>
    <xf numFmtId="44" fontId="48" fillId="0" borderId="0" xfId="0" applyNumberFormat="1" applyFont="1" applyBorder="1" applyAlignment="1" applyProtection="1">
      <alignment horizontal="left" vertical="center"/>
    </xf>
    <xf numFmtId="49" fontId="13" fillId="7" borderId="0" xfId="0" applyNumberFormat="1"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64" fontId="14" fillId="7" borderId="0" xfId="2" applyNumberFormat="1" applyFont="1" applyFill="1" applyBorder="1" applyAlignment="1" applyProtection="1">
      <alignment horizontal="center" vertical="center" wrapText="1"/>
    </xf>
    <xf numFmtId="166" fontId="13" fillId="7" borderId="0" xfId="0" applyNumberFormat="1" applyFont="1" applyFill="1" applyBorder="1" applyAlignment="1" applyProtection="1">
      <alignment horizontal="center" vertical="center"/>
    </xf>
    <xf numFmtId="9" fontId="13" fillId="7" borderId="0" xfId="3" applyFont="1" applyFill="1" applyBorder="1" applyAlignment="1" applyProtection="1">
      <alignment horizontal="center" vertical="center"/>
    </xf>
    <xf numFmtId="9" fontId="14" fillId="7" borderId="0" xfId="3" applyFont="1" applyFill="1" applyBorder="1" applyAlignment="1" applyProtection="1">
      <alignment horizontal="center" vertical="center"/>
    </xf>
    <xf numFmtId="166" fontId="13" fillId="3" borderId="0" xfId="0" applyNumberFormat="1" applyFont="1" applyFill="1" applyBorder="1" applyAlignment="1" applyProtection="1">
      <alignment vertical="center"/>
    </xf>
    <xf numFmtId="44" fontId="13" fillId="3" borderId="0" xfId="0" applyNumberFormat="1" applyFont="1" applyFill="1" applyBorder="1" applyAlignment="1" applyProtection="1">
      <alignment horizontal="center" vertical="center"/>
    </xf>
    <xf numFmtId="166" fontId="13" fillId="0" borderId="0" xfId="0" applyNumberFormat="1" applyFont="1" applyBorder="1" applyAlignment="1" applyProtection="1">
      <alignment horizontal="center" vertical="center"/>
    </xf>
    <xf numFmtId="0" fontId="13" fillId="0" borderId="0" xfId="0" applyFont="1" applyBorder="1" applyAlignment="1" applyProtection="1">
      <alignment vertical="center"/>
    </xf>
    <xf numFmtId="44" fontId="13" fillId="0" borderId="0" xfId="0" applyNumberFormat="1" applyFont="1" applyBorder="1" applyAlignment="1" applyProtection="1">
      <alignment vertical="center"/>
    </xf>
    <xf numFmtId="0" fontId="9" fillId="0" borderId="0" xfId="0" applyFont="1" applyBorder="1" applyAlignment="1" applyProtection="1">
      <alignment vertical="center"/>
    </xf>
    <xf numFmtId="49" fontId="29" fillId="0" borderId="0" xfId="0" applyNumberFormat="1" applyFont="1" applyBorder="1" applyAlignment="1" applyProtection="1">
      <alignment horizontal="center" vertical="center"/>
    </xf>
    <xf numFmtId="0" fontId="29" fillId="0" borderId="0" xfId="0" applyFont="1" applyBorder="1" applyAlignment="1" applyProtection="1">
      <alignment horizontal="center" vertical="center"/>
    </xf>
    <xf numFmtId="164" fontId="30" fillId="0" borderId="0" xfId="2" applyNumberFormat="1" applyFont="1" applyFill="1" applyBorder="1" applyAlignment="1" applyProtection="1">
      <alignment horizontal="center" vertical="center" wrapText="1"/>
    </xf>
    <xf numFmtId="166" fontId="29" fillId="0" borderId="0" xfId="0" applyNumberFormat="1" applyFont="1" applyFill="1" applyBorder="1" applyAlignment="1" applyProtection="1">
      <alignment horizontal="center" vertical="center"/>
    </xf>
    <xf numFmtId="9" fontId="29" fillId="0" borderId="0" xfId="3" applyFont="1" applyBorder="1" applyAlignment="1" applyProtection="1">
      <alignment horizontal="center" vertical="center"/>
    </xf>
    <xf numFmtId="9" fontId="5" fillId="0" borderId="0" xfId="3" applyFont="1" applyFill="1" applyBorder="1" applyAlignment="1" applyProtection="1">
      <alignment horizontal="center" vertical="center"/>
    </xf>
    <xf numFmtId="166" fontId="29" fillId="0" borderId="0" xfId="0" applyNumberFormat="1" applyFont="1" applyBorder="1" applyAlignment="1" applyProtection="1">
      <alignment horizontal="center" vertical="center"/>
    </xf>
    <xf numFmtId="166" fontId="4" fillId="3" borderId="0" xfId="0" applyNumberFormat="1" applyFont="1" applyFill="1" applyBorder="1" applyAlignment="1" applyProtection="1">
      <alignment vertical="center"/>
    </xf>
    <xf numFmtId="44" fontId="4" fillId="3" borderId="0" xfId="0" applyNumberFormat="1" applyFont="1" applyFill="1" applyBorder="1" applyAlignment="1" applyProtection="1">
      <alignment horizontal="center" vertical="center"/>
    </xf>
    <xf numFmtId="44" fontId="29" fillId="0" borderId="0" xfId="0" applyNumberFormat="1" applyFont="1" applyBorder="1" applyAlignment="1" applyProtection="1">
      <alignment horizontal="center" vertical="center"/>
    </xf>
    <xf numFmtId="49" fontId="4" fillId="0" borderId="0" xfId="0" applyNumberFormat="1" applyFont="1" applyBorder="1" applyAlignment="1" applyProtection="1">
      <alignment horizontal="right" vertical="center"/>
    </xf>
    <xf numFmtId="0" fontId="4" fillId="0" borderId="0" xfId="0" applyFont="1" applyBorder="1" applyAlignment="1" applyProtection="1">
      <alignment horizontal="right" vertical="center"/>
    </xf>
    <xf numFmtId="164" fontId="5" fillId="0" borderId="0" xfId="2" applyNumberFormat="1" applyFont="1" applyFill="1" applyBorder="1" applyAlignment="1" applyProtection="1">
      <alignment horizontal="right" vertical="center" wrapText="1"/>
    </xf>
    <xf numFmtId="166" fontId="5" fillId="0" borderId="0" xfId="2" applyNumberFormat="1" applyFont="1" applyFill="1" applyBorder="1" applyAlignment="1" applyProtection="1">
      <alignment horizontal="right" vertical="center" wrapText="1"/>
    </xf>
    <xf numFmtId="44" fontId="4" fillId="0" borderId="0" xfId="0" applyNumberFormat="1" applyFont="1" applyBorder="1" applyAlignment="1" applyProtection="1">
      <alignment vertical="center"/>
    </xf>
    <xf numFmtId="0" fontId="27" fillId="0" borderId="0" xfId="0" applyFont="1" applyBorder="1" applyAlignment="1" applyProtection="1">
      <alignment vertical="center"/>
    </xf>
    <xf numFmtId="49" fontId="4"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166" fontId="4" fillId="0" borderId="0" xfId="5" applyNumberFormat="1" applyFont="1" applyFill="1" applyBorder="1" applyAlignment="1" applyProtection="1">
      <alignment vertical="center"/>
    </xf>
    <xf numFmtId="0" fontId="4" fillId="3" borderId="0" xfId="0" applyFont="1" applyFill="1" applyBorder="1" applyAlignment="1" applyProtection="1">
      <alignment vertical="center"/>
    </xf>
    <xf numFmtId="0" fontId="4" fillId="3" borderId="0" xfId="0" applyNumberFormat="1" applyFont="1" applyFill="1" applyBorder="1" applyAlignment="1" applyProtection="1">
      <alignment vertical="center"/>
    </xf>
    <xf numFmtId="166" fontId="4" fillId="3" borderId="0" xfId="5" applyNumberFormat="1" applyFont="1" applyFill="1" applyBorder="1" applyAlignment="1" applyProtection="1">
      <alignment vertical="center"/>
    </xf>
    <xf numFmtId="0" fontId="51" fillId="2" borderId="52" xfId="0" applyFont="1" applyFill="1" applyBorder="1" applyAlignment="1">
      <alignment horizontal="center" vertical="center"/>
    </xf>
    <xf numFmtId="0" fontId="51" fillId="2" borderId="53" xfId="0" applyFont="1" applyFill="1" applyBorder="1" applyAlignment="1">
      <alignment horizontal="center" vertical="center"/>
    </xf>
    <xf numFmtId="9" fontId="51" fillId="2" borderId="54" xfId="0" applyNumberFormat="1" applyFont="1" applyFill="1" applyBorder="1" applyAlignment="1">
      <alignment horizontal="center" vertical="center"/>
    </xf>
    <xf numFmtId="166" fontId="9" fillId="0" borderId="50" xfId="0" applyNumberFormat="1" applyFont="1" applyBorder="1" applyAlignment="1">
      <alignment horizontal="center" vertical="center"/>
    </xf>
    <xf numFmtId="166" fontId="9" fillId="9" borderId="51" xfId="0" applyNumberFormat="1" applyFont="1" applyFill="1" applyBorder="1" applyAlignment="1">
      <alignment horizontal="center" vertical="center"/>
    </xf>
    <xf numFmtId="0" fontId="23" fillId="0" borderId="12" xfId="0" applyFont="1" applyBorder="1" applyAlignment="1" applyProtection="1"/>
    <xf numFmtId="166" fontId="9" fillId="0" borderId="46" xfId="0" applyNumberFormat="1" applyFont="1" applyBorder="1" applyAlignment="1">
      <alignment horizontal="center" vertical="center"/>
    </xf>
    <xf numFmtId="166" fontId="9" fillId="9" borderId="47" xfId="0" applyNumberFormat="1" applyFont="1" applyFill="1" applyBorder="1" applyAlignment="1">
      <alignment horizontal="center" vertical="center"/>
    </xf>
    <xf numFmtId="44" fontId="32" fillId="2" borderId="47" xfId="0" applyNumberFormat="1" applyFont="1" applyFill="1" applyBorder="1" applyAlignment="1">
      <alignment horizontal="center" vertical="center"/>
    </xf>
    <xf numFmtId="0" fontId="32" fillId="2" borderId="44" xfId="0" applyFont="1" applyFill="1" applyBorder="1" applyAlignment="1">
      <alignment horizontal="center" vertical="center"/>
    </xf>
    <xf numFmtId="0" fontId="32" fillId="2" borderId="51" xfId="0" applyFont="1" applyFill="1" applyBorder="1" applyAlignment="1">
      <alignment horizontal="center" vertical="center"/>
    </xf>
    <xf numFmtId="44" fontId="32" fillId="2" borderId="54" xfId="0" applyNumberFormat="1" applyFont="1" applyFill="1" applyBorder="1" applyAlignment="1">
      <alignment horizontal="center" vertical="center"/>
    </xf>
    <xf numFmtId="0" fontId="6" fillId="0" borderId="11" xfId="0" applyFont="1" applyBorder="1" applyProtection="1"/>
    <xf numFmtId="0" fontId="8" fillId="3" borderId="36" xfId="0" applyFont="1" applyFill="1" applyBorder="1" applyAlignment="1" applyProtection="1">
      <alignment horizontal="right"/>
    </xf>
    <xf numFmtId="166" fontId="5" fillId="10" borderId="0" xfId="2" applyNumberFormat="1" applyFont="1" applyFill="1" applyBorder="1" applyAlignment="1" applyProtection="1">
      <alignment horizontal="right" vertical="center" wrapText="1"/>
      <protection locked="0"/>
    </xf>
    <xf numFmtId="0" fontId="6" fillId="0" borderId="11" xfId="0" applyFont="1" applyBorder="1" applyAlignment="1" applyProtection="1">
      <alignment horizontal="right"/>
    </xf>
    <xf numFmtId="0" fontId="22" fillId="4" borderId="1" xfId="0" applyFont="1" applyFill="1" applyBorder="1" applyAlignment="1" applyProtection="1">
      <alignment horizontal="center"/>
    </xf>
    <xf numFmtId="0" fontId="22" fillId="4" borderId="35" xfId="0" applyFont="1" applyFill="1" applyBorder="1" applyAlignment="1" applyProtection="1">
      <alignment horizontal="center"/>
    </xf>
    <xf numFmtId="0" fontId="11" fillId="2" borderId="4" xfId="0" applyFont="1" applyFill="1" applyBorder="1" applyProtection="1"/>
    <xf numFmtId="0" fontId="11" fillId="2" borderId="6" xfId="0" applyFont="1" applyFill="1" applyBorder="1" applyProtection="1"/>
    <xf numFmtId="0" fontId="23" fillId="0" borderId="1" xfId="0" applyFont="1" applyBorder="1" applyAlignment="1" applyProtection="1"/>
    <xf numFmtId="0" fontId="23" fillId="0" borderId="0" xfId="0" applyFont="1" applyBorder="1" applyAlignment="1" applyProtection="1">
      <alignment horizontal="right"/>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26" fillId="0" borderId="0" xfId="0" applyFont="1" applyBorder="1" applyAlignment="1" applyProtection="1">
      <alignment horizontal="right"/>
    </xf>
    <xf numFmtId="0" fontId="23" fillId="0" borderId="6" xfId="0" applyFont="1" applyBorder="1" applyAlignment="1" applyProtection="1">
      <alignment horizontal="right"/>
    </xf>
    <xf numFmtId="0" fontId="0" fillId="0" borderId="0" xfId="0" applyFill="1"/>
    <xf numFmtId="0" fontId="53" fillId="17" borderId="0" xfId="0" applyFont="1" applyFill="1" applyBorder="1" applyAlignment="1" applyProtection="1">
      <alignment horizontal="center" vertical="center" wrapText="1"/>
    </xf>
    <xf numFmtId="0" fontId="11" fillId="2" borderId="57" xfId="0" applyFont="1" applyFill="1" applyBorder="1" applyAlignment="1" applyProtection="1">
      <alignment vertical="center"/>
    </xf>
    <xf numFmtId="0" fontId="11" fillId="2" borderId="58" xfId="0" applyFont="1" applyFill="1" applyBorder="1" applyAlignment="1" applyProtection="1">
      <alignment vertical="center"/>
    </xf>
    <xf numFmtId="0" fontId="9" fillId="0" borderId="57" xfId="0" applyFont="1" applyBorder="1" applyAlignment="1" applyProtection="1"/>
    <xf numFmtId="0" fontId="0" fillId="0" borderId="57" xfId="0" applyBorder="1"/>
    <xf numFmtId="0" fontId="9" fillId="0" borderId="30" xfId="0" applyFont="1" applyBorder="1" applyAlignment="1" applyProtection="1">
      <alignment horizontal="right"/>
    </xf>
    <xf numFmtId="0" fontId="53" fillId="2" borderId="0" xfId="0" applyFont="1" applyFill="1" applyBorder="1" applyAlignment="1" applyProtection="1">
      <alignment horizontal="center" vertical="center"/>
    </xf>
    <xf numFmtId="167" fontId="24" fillId="0" borderId="0" xfId="3" applyNumberFormat="1" applyFont="1" applyFill="1"/>
    <xf numFmtId="0" fontId="24" fillId="0" borderId="0" xfId="0" applyFont="1" applyFill="1"/>
    <xf numFmtId="0" fontId="53" fillId="17" borderId="0" xfId="0" applyFont="1" applyFill="1" applyBorder="1" applyAlignment="1" applyProtection="1">
      <alignment horizontal="left" vertical="top" wrapText="1"/>
    </xf>
    <xf numFmtId="9" fontId="26" fillId="0" borderId="8" xfId="3" applyFont="1" applyBorder="1" applyAlignment="1" applyProtection="1">
      <alignment horizontal="right"/>
    </xf>
    <xf numFmtId="167" fontId="21" fillId="3" borderId="8" xfId="0" applyNumberFormat="1" applyFont="1" applyFill="1" applyBorder="1" applyAlignment="1" applyProtection="1">
      <alignment horizontal="right"/>
    </xf>
    <xf numFmtId="167" fontId="21" fillId="0" borderId="8" xfId="0" applyNumberFormat="1" applyFont="1" applyFill="1" applyBorder="1" applyAlignment="1" applyProtection="1">
      <alignment horizontal="right"/>
    </xf>
    <xf numFmtId="167" fontId="21" fillId="3" borderId="0" xfId="3" applyNumberFormat="1" applyFont="1" applyFill="1" applyBorder="1" applyAlignment="1" applyProtection="1">
      <alignment horizontal="right"/>
    </xf>
    <xf numFmtId="167" fontId="41" fillId="3" borderId="8" xfId="3" applyNumberFormat="1" applyFont="1" applyFill="1" applyBorder="1" applyAlignment="1" applyProtection="1">
      <alignment horizontal="right"/>
    </xf>
    <xf numFmtId="167" fontId="41" fillId="0" borderId="8" xfId="3" applyNumberFormat="1" applyFont="1" applyBorder="1" applyAlignment="1" applyProtection="1">
      <alignment horizontal="right"/>
    </xf>
    <xf numFmtId="167" fontId="41" fillId="3" borderId="0" xfId="3" applyNumberFormat="1" applyFont="1" applyFill="1" applyBorder="1" applyAlignment="1" applyProtection="1">
      <alignment horizontal="right"/>
    </xf>
    <xf numFmtId="0" fontId="51" fillId="17" borderId="0" xfId="0" applyFont="1" applyFill="1" applyBorder="1" applyAlignment="1" applyProtection="1">
      <alignment horizontal="left" vertical="top" wrapText="1"/>
    </xf>
    <xf numFmtId="0" fontId="51" fillId="17" borderId="0" xfId="0" applyFont="1" applyFill="1" applyBorder="1" applyAlignment="1" applyProtection="1">
      <alignment horizontal="center" vertical="center" wrapText="1"/>
    </xf>
    <xf numFmtId="0" fontId="53" fillId="17" borderId="0" xfId="0" applyFont="1" applyFill="1" applyBorder="1" applyAlignment="1" applyProtection="1">
      <alignment horizontal="center" vertical="top" wrapText="1"/>
    </xf>
    <xf numFmtId="0" fontId="51" fillId="0" borderId="0" xfId="0" applyFont="1" applyFill="1" applyBorder="1" applyAlignment="1" applyProtection="1">
      <alignment vertical="top" wrapText="1"/>
    </xf>
    <xf numFmtId="0" fontId="9" fillId="0" borderId="0" xfId="0" applyFont="1" applyBorder="1" applyAlignment="1" applyProtection="1">
      <alignment horizontal="left" wrapText="1"/>
    </xf>
    <xf numFmtId="0" fontId="53" fillId="0" borderId="0" xfId="0" applyFont="1" applyFill="1" applyBorder="1" applyAlignment="1" applyProtection="1">
      <alignment horizontal="center" vertical="top" wrapText="1"/>
    </xf>
    <xf numFmtId="10" fontId="6" fillId="18" borderId="0" xfId="3" applyNumberFormat="1" applyFont="1" applyFill="1" applyBorder="1" applyProtection="1">
      <protection locked="0"/>
    </xf>
    <xf numFmtId="0" fontId="51" fillId="17" borderId="0" xfId="0" applyFont="1" applyFill="1" applyBorder="1" applyAlignment="1" applyProtection="1">
      <alignment horizontal="right" vertical="top" wrapText="1"/>
    </xf>
    <xf numFmtId="166" fontId="54" fillId="9" borderId="53" xfId="0" applyNumberFormat="1" applyFont="1" applyFill="1" applyBorder="1" applyAlignment="1">
      <alignment horizontal="left" vertical="center"/>
    </xf>
    <xf numFmtId="166" fontId="54" fillId="9" borderId="46" xfId="0" applyNumberFormat="1" applyFont="1" applyFill="1" applyBorder="1" applyAlignment="1">
      <alignment horizontal="left" vertical="center"/>
    </xf>
    <xf numFmtId="166" fontId="54" fillId="9" borderId="50" xfId="0" applyNumberFormat="1" applyFont="1" applyFill="1" applyBorder="1" applyAlignment="1">
      <alignment horizontal="left" vertical="center"/>
    </xf>
    <xf numFmtId="166" fontId="54" fillId="9" borderId="0" xfId="0" applyNumberFormat="1" applyFont="1" applyFill="1" applyBorder="1" applyAlignment="1">
      <alignment horizontal="left" vertical="center"/>
    </xf>
    <xf numFmtId="166" fontId="55" fillId="9" borderId="0" xfId="0" applyNumberFormat="1" applyFont="1" applyFill="1" applyBorder="1" applyAlignment="1">
      <alignment horizontal="left" vertical="center"/>
    </xf>
    <xf numFmtId="0" fontId="26" fillId="3" borderId="3" xfId="0" applyFont="1" applyFill="1" applyBorder="1" applyAlignment="1" applyProtection="1">
      <alignment horizontal="right"/>
    </xf>
    <xf numFmtId="0" fontId="51" fillId="17" borderId="0" xfId="0" applyFont="1" applyFill="1" applyBorder="1" applyAlignment="1" applyProtection="1">
      <alignment horizontal="left" vertical="top" wrapText="1"/>
      <protection locked="0"/>
    </xf>
    <xf numFmtId="0" fontId="0" fillId="0" borderId="0" xfId="0" applyFill="1" applyProtection="1"/>
    <xf numFmtId="0" fontId="0" fillId="0" borderId="0" xfId="0" applyProtection="1"/>
    <xf numFmtId="10" fontId="6" fillId="0" borderId="0" xfId="3" applyNumberFormat="1" applyFont="1" applyFill="1" applyBorder="1" applyProtection="1"/>
    <xf numFmtId="168" fontId="9" fillId="0" borderId="0" xfId="6" applyNumberFormat="1" applyFont="1" applyBorder="1" applyAlignment="1" applyProtection="1">
      <alignment horizontal="left"/>
    </xf>
    <xf numFmtId="168" fontId="0" fillId="0" borderId="0" xfId="6" applyNumberFormat="1" applyFont="1"/>
    <xf numFmtId="168" fontId="0" fillId="0" borderId="0" xfId="6" applyNumberFormat="1" applyFont="1" applyFill="1"/>
    <xf numFmtId="168" fontId="0" fillId="11" borderId="56" xfId="6" applyNumberFormat="1" applyFont="1" applyFill="1" applyBorder="1"/>
    <xf numFmtId="168" fontId="9" fillId="0" borderId="59" xfId="6" applyNumberFormat="1" applyFont="1" applyBorder="1" applyAlignment="1" applyProtection="1">
      <alignment horizontal="left"/>
    </xf>
    <xf numFmtId="168" fontId="9" fillId="0" borderId="60" xfId="6" applyNumberFormat="1" applyFont="1" applyBorder="1" applyAlignment="1" applyProtection="1">
      <alignment horizontal="left"/>
    </xf>
    <xf numFmtId="168" fontId="9" fillId="0" borderId="55" xfId="6" applyNumberFormat="1" applyFont="1" applyBorder="1" applyAlignment="1" applyProtection="1">
      <alignment horizontal="left"/>
    </xf>
    <xf numFmtId="168" fontId="6" fillId="11" borderId="45" xfId="6" applyNumberFormat="1" applyFont="1" applyFill="1" applyBorder="1" applyProtection="1">
      <protection locked="0"/>
    </xf>
    <xf numFmtId="168" fontId="6" fillId="0" borderId="46" xfId="6" applyNumberFormat="1" applyFont="1" applyFill="1" applyBorder="1" applyProtection="1">
      <protection locked="0"/>
    </xf>
    <xf numFmtId="168" fontId="6" fillId="0" borderId="47" xfId="6" applyNumberFormat="1" applyFont="1" applyBorder="1" applyProtection="1">
      <protection locked="0"/>
    </xf>
    <xf numFmtId="168" fontId="0" fillId="0" borderId="56" xfId="6" applyNumberFormat="1" applyFont="1" applyBorder="1"/>
    <xf numFmtId="168" fontId="0" fillId="0" borderId="56" xfId="6" applyNumberFormat="1" applyFont="1" applyFill="1" applyBorder="1"/>
    <xf numFmtId="168" fontId="0" fillId="11" borderId="0" xfId="6" applyNumberFormat="1" applyFont="1" applyFill="1" applyBorder="1"/>
    <xf numFmtId="168" fontId="6" fillId="0" borderId="0" xfId="6" applyNumberFormat="1" applyFont="1" applyFill="1" applyBorder="1" applyProtection="1"/>
    <xf numFmtId="168" fontId="6" fillId="0" borderId="46" xfId="6" applyNumberFormat="1" applyFont="1" applyFill="1" applyBorder="1" applyProtection="1"/>
    <xf numFmtId="168" fontId="6" fillId="12" borderId="48" xfId="6" applyNumberFormat="1" applyFont="1" applyFill="1" applyBorder="1" applyProtection="1">
      <protection locked="0"/>
    </xf>
    <xf numFmtId="168" fontId="6" fillId="11" borderId="0" xfId="6" applyNumberFormat="1" applyFont="1" applyFill="1" applyBorder="1" applyProtection="1">
      <protection locked="0"/>
    </xf>
    <xf numFmtId="168" fontId="6" fillId="0" borderId="0" xfId="6" applyNumberFormat="1" applyFont="1" applyFill="1" applyBorder="1" applyProtection="1">
      <protection locked="0"/>
    </xf>
    <xf numFmtId="168" fontId="6" fillId="0" borderId="44" xfId="6" applyNumberFormat="1" applyFont="1" applyBorder="1" applyProtection="1">
      <protection locked="0"/>
    </xf>
    <xf numFmtId="168" fontId="0" fillId="0" borderId="0" xfId="6" applyNumberFormat="1" applyFont="1" applyBorder="1"/>
    <xf numFmtId="168" fontId="0" fillId="0" borderId="0" xfId="6" applyNumberFormat="1" applyFont="1" applyFill="1" applyBorder="1"/>
    <xf numFmtId="168" fontId="6" fillId="13" borderId="48" xfId="6" applyNumberFormat="1" applyFont="1" applyFill="1" applyBorder="1" applyProtection="1">
      <protection locked="0"/>
    </xf>
    <xf numFmtId="168" fontId="6" fillId="12" borderId="0" xfId="6" applyNumberFormat="1" applyFont="1" applyFill="1" applyBorder="1" applyProtection="1">
      <protection locked="0"/>
    </xf>
    <xf numFmtId="168" fontId="6" fillId="14" borderId="48" xfId="6" applyNumberFormat="1" applyFont="1" applyFill="1" applyBorder="1" applyProtection="1">
      <protection locked="0"/>
    </xf>
    <xf numFmtId="168" fontId="6" fillId="13" borderId="0" xfId="6" applyNumberFormat="1" applyFont="1" applyFill="1" applyBorder="1" applyProtection="1">
      <protection locked="0"/>
    </xf>
    <xf numFmtId="168" fontId="6" fillId="16" borderId="48" xfId="6" applyNumberFormat="1" applyFont="1" applyFill="1" applyBorder="1" applyProtection="1">
      <protection locked="0"/>
    </xf>
    <xf numFmtId="168" fontId="6" fillId="14" borderId="0" xfId="6" applyNumberFormat="1" applyFont="1" applyFill="1" applyBorder="1" applyProtection="1">
      <protection locked="0"/>
    </xf>
    <xf numFmtId="168" fontId="6" fillId="15" borderId="48" xfId="6" applyNumberFormat="1" applyFont="1" applyFill="1" applyBorder="1" applyProtection="1">
      <protection locked="0"/>
    </xf>
    <xf numFmtId="168" fontId="6" fillId="16" borderId="0" xfId="6" applyNumberFormat="1" applyFont="1" applyFill="1" applyBorder="1" applyProtection="1">
      <protection locked="0"/>
    </xf>
    <xf numFmtId="168" fontId="6" fillId="7" borderId="48" xfId="6" applyNumberFormat="1" applyFont="1" applyFill="1" applyBorder="1" applyProtection="1">
      <protection locked="0"/>
    </xf>
    <xf numFmtId="168" fontId="6" fillId="15" borderId="0" xfId="6" applyNumberFormat="1" applyFont="1" applyFill="1" applyBorder="1" applyProtection="1">
      <protection locked="0"/>
    </xf>
    <xf numFmtId="168" fontId="6" fillId="11" borderId="44" xfId="6" applyNumberFormat="1" applyFont="1" applyFill="1" applyBorder="1" applyProtection="1">
      <protection locked="0"/>
    </xf>
    <xf numFmtId="168" fontId="6" fillId="0" borderId="0" xfId="6" applyNumberFormat="1" applyFont="1" applyFill="1" applyBorder="1"/>
    <xf numFmtId="168" fontId="6" fillId="0" borderId="48" xfId="6" applyNumberFormat="1" applyFont="1" applyFill="1" applyBorder="1" applyProtection="1">
      <protection locked="0"/>
    </xf>
    <xf numFmtId="168" fontId="6" fillId="7" borderId="0" xfId="6" applyNumberFormat="1" applyFont="1" applyFill="1" applyBorder="1" applyProtection="1">
      <protection locked="0"/>
    </xf>
    <xf numFmtId="168" fontId="6" fillId="12" borderId="44" xfId="6" applyNumberFormat="1" applyFont="1" applyFill="1" applyBorder="1" applyProtection="1">
      <protection locked="0"/>
    </xf>
    <xf numFmtId="168" fontId="0" fillId="12" borderId="0" xfId="6" applyNumberFormat="1" applyFont="1" applyFill="1" applyBorder="1"/>
    <xf numFmtId="168" fontId="6" fillId="11" borderId="0" xfId="6" applyNumberFormat="1" applyFont="1" applyFill="1" applyBorder="1"/>
    <xf numFmtId="168" fontId="6" fillId="13" borderId="44" xfId="6" applyNumberFormat="1" applyFont="1" applyFill="1" applyBorder="1" applyProtection="1">
      <protection locked="0"/>
    </xf>
    <xf numFmtId="168" fontId="0" fillId="13" borderId="0" xfId="6" applyNumberFormat="1" applyFont="1" applyFill="1" applyBorder="1"/>
    <xf numFmtId="168" fontId="6" fillId="12" borderId="0" xfId="6" applyNumberFormat="1" applyFont="1" applyFill="1" applyBorder="1"/>
    <xf numFmtId="168" fontId="6" fillId="14" borderId="44" xfId="6" applyNumberFormat="1" applyFont="1" applyFill="1" applyBorder="1" applyProtection="1">
      <protection locked="0"/>
    </xf>
    <xf numFmtId="168" fontId="0" fillId="14" borderId="0" xfId="6" applyNumberFormat="1" applyFont="1" applyFill="1" applyBorder="1"/>
    <xf numFmtId="168" fontId="6" fillId="13" borderId="0" xfId="6" applyNumberFormat="1" applyFont="1" applyFill="1" applyBorder="1"/>
    <xf numFmtId="168" fontId="6" fillId="16" borderId="44" xfId="6" applyNumberFormat="1" applyFont="1" applyFill="1" applyBorder="1" applyProtection="1">
      <protection locked="0"/>
    </xf>
    <xf numFmtId="168" fontId="0" fillId="16" borderId="0" xfId="6" applyNumberFormat="1" applyFont="1" applyFill="1" applyBorder="1"/>
    <xf numFmtId="168" fontId="6" fillId="14" borderId="0" xfId="6" applyNumberFormat="1" applyFont="1" applyFill="1" applyBorder="1"/>
    <xf numFmtId="168" fontId="6" fillId="15" borderId="44" xfId="6" applyNumberFormat="1" applyFont="1" applyFill="1" applyBorder="1" applyProtection="1">
      <protection locked="0"/>
    </xf>
    <xf numFmtId="168" fontId="0" fillId="15" borderId="0" xfId="6" applyNumberFormat="1" applyFont="1" applyFill="1" applyBorder="1"/>
    <xf numFmtId="168" fontId="6" fillId="16" borderId="0" xfId="6" applyNumberFormat="1" applyFont="1" applyFill="1" applyBorder="1"/>
    <xf numFmtId="168" fontId="6" fillId="0" borderId="49" xfId="6" applyNumberFormat="1" applyFont="1" applyFill="1" applyBorder="1" applyProtection="1">
      <protection locked="0"/>
    </xf>
    <xf numFmtId="168" fontId="6" fillId="0" borderId="50" xfId="6" applyNumberFormat="1" applyFont="1" applyFill="1" applyBorder="1" applyProtection="1">
      <protection locked="0"/>
    </xf>
    <xf numFmtId="168" fontId="6" fillId="7" borderId="51" xfId="6" applyNumberFormat="1" applyFont="1" applyFill="1" applyBorder="1" applyProtection="1">
      <protection locked="0"/>
    </xf>
    <xf numFmtId="168" fontId="0" fillId="0" borderId="55" xfId="6" applyNumberFormat="1" applyFont="1" applyFill="1" applyBorder="1"/>
    <xf numFmtId="168" fontId="0" fillId="7" borderId="55" xfId="6" applyNumberFormat="1" applyFont="1" applyFill="1" applyBorder="1"/>
    <xf numFmtId="168" fontId="6" fillId="15" borderId="60" xfId="6" applyNumberFormat="1" applyFont="1" applyFill="1" applyBorder="1"/>
    <xf numFmtId="168" fontId="6" fillId="12" borderId="6" xfId="6" applyNumberFormat="1" applyFont="1" applyFill="1" applyBorder="1"/>
    <xf numFmtId="168" fontId="6" fillId="15" borderId="50" xfId="6" applyNumberFormat="1" applyFont="1" applyFill="1" applyBorder="1"/>
    <xf numFmtId="168" fontId="23" fillId="0" borderId="0" xfId="6" applyNumberFormat="1" applyFont="1" applyFill="1" applyBorder="1" applyAlignment="1" applyProtection="1">
      <alignment horizontal="right"/>
    </xf>
    <xf numFmtId="168" fontId="0" fillId="0" borderId="0" xfId="6" applyNumberFormat="1" applyFont="1" applyBorder="1" applyAlignment="1">
      <alignment horizontal="right"/>
    </xf>
    <xf numFmtId="168" fontId="0" fillId="11" borderId="0" xfId="6" applyNumberFormat="1" applyFont="1" applyFill="1" applyBorder="1" applyAlignment="1">
      <alignment horizontal="right"/>
    </xf>
    <xf numFmtId="168" fontId="6" fillId="15" borderId="36" xfId="6" applyNumberFormat="1" applyFont="1" applyFill="1" applyBorder="1"/>
    <xf numFmtId="167" fontId="0" fillId="0" borderId="0" xfId="3" applyNumberFormat="1" applyFont="1" applyFill="1" applyBorder="1"/>
    <xf numFmtId="167" fontId="0" fillId="0" borderId="55" xfId="3" applyNumberFormat="1" applyFont="1" applyFill="1" applyBorder="1"/>
    <xf numFmtId="168" fontId="6" fillId="18" borderId="0" xfId="6" applyNumberFormat="1" applyFont="1" applyFill="1" applyBorder="1" applyProtection="1">
      <protection locked="0"/>
    </xf>
    <xf numFmtId="168" fontId="9" fillId="3" borderId="3" xfId="6" applyNumberFormat="1" applyFont="1" applyFill="1" applyBorder="1" applyAlignment="1" applyProtection="1">
      <alignment horizontal="left"/>
    </xf>
    <xf numFmtId="168" fontId="43" fillId="3" borderId="0" xfId="6" applyNumberFormat="1" applyFont="1" applyFill="1" applyBorder="1" applyAlignment="1" applyProtection="1">
      <alignment horizontal="right"/>
    </xf>
    <xf numFmtId="168" fontId="9" fillId="3" borderId="16" xfId="6" applyNumberFormat="1" applyFont="1" applyFill="1" applyBorder="1" applyAlignment="1" applyProtection="1">
      <alignment horizontal="left"/>
    </xf>
    <xf numFmtId="168" fontId="6" fillId="3" borderId="0" xfId="6" applyNumberFormat="1" applyFont="1" applyFill="1" applyBorder="1" applyProtection="1"/>
    <xf numFmtId="168" fontId="24" fillId="3" borderId="16" xfId="6" applyNumberFormat="1" applyFont="1" applyFill="1" applyBorder="1" applyAlignment="1" applyProtection="1">
      <alignment horizontal="center"/>
    </xf>
    <xf numFmtId="168" fontId="25" fillId="3" borderId="16" xfId="6" applyNumberFormat="1" applyFont="1" applyFill="1" applyBorder="1" applyAlignment="1" applyProtection="1">
      <alignment horizontal="center"/>
    </xf>
    <xf numFmtId="168" fontId="9" fillId="3" borderId="0" xfId="6" applyNumberFormat="1" applyFont="1" applyFill="1" applyBorder="1" applyAlignment="1" applyProtection="1">
      <alignment horizontal="left"/>
    </xf>
    <xf numFmtId="168" fontId="25" fillId="3" borderId="0" xfId="6" applyNumberFormat="1" applyFont="1" applyFill="1" applyBorder="1" applyProtection="1"/>
    <xf numFmtId="168" fontId="23" fillId="3" borderId="0" xfId="6" applyNumberFormat="1" applyFont="1" applyFill="1" applyBorder="1" applyProtection="1"/>
    <xf numFmtId="168" fontId="25" fillId="3" borderId="0" xfId="6" applyNumberFormat="1" applyFont="1" applyFill="1" applyBorder="1" applyAlignment="1" applyProtection="1">
      <alignment horizontal="center"/>
    </xf>
    <xf numFmtId="168" fontId="22" fillId="4" borderId="1" xfId="6" applyNumberFormat="1" applyFont="1" applyFill="1" applyBorder="1" applyAlignment="1" applyProtection="1"/>
    <xf numFmtId="168" fontId="28" fillId="3" borderId="0" xfId="6" applyNumberFormat="1" applyFont="1" applyFill="1" applyBorder="1" applyAlignment="1" applyProtection="1">
      <alignment horizontal="center"/>
    </xf>
    <xf numFmtId="168" fontId="6" fillId="3" borderId="1" xfId="6" applyNumberFormat="1" applyFont="1" applyFill="1" applyBorder="1" applyProtection="1"/>
    <xf numFmtId="168" fontId="23" fillId="10" borderId="0" xfId="6" applyNumberFormat="1" applyFont="1" applyFill="1" applyBorder="1" applyProtection="1">
      <protection locked="0"/>
    </xf>
    <xf numFmtId="168" fontId="24" fillId="3" borderId="0" xfId="6" applyNumberFormat="1" applyFont="1" applyFill="1" applyBorder="1" applyAlignment="1" applyProtection="1">
      <alignment horizontal="center"/>
    </xf>
    <xf numFmtId="168" fontId="23" fillId="10" borderId="6" xfId="6" applyNumberFormat="1" applyFont="1" applyFill="1" applyBorder="1" applyProtection="1">
      <protection locked="0"/>
    </xf>
    <xf numFmtId="168" fontId="9" fillId="0" borderId="0" xfId="6" applyNumberFormat="1" applyFont="1" applyBorder="1" applyAlignment="1" applyProtection="1"/>
    <xf numFmtId="168" fontId="6" fillId="0" borderId="6" xfId="6" applyNumberFormat="1" applyFont="1" applyBorder="1" applyProtection="1"/>
    <xf numFmtId="168" fontId="9" fillId="0" borderId="3" xfId="6" applyNumberFormat="1" applyFont="1" applyBorder="1" applyAlignment="1" applyProtection="1">
      <alignment horizontal="left"/>
    </xf>
    <xf numFmtId="168" fontId="26" fillId="0" borderId="0" xfId="6" applyNumberFormat="1" applyFont="1" applyBorder="1" applyAlignment="1" applyProtection="1">
      <alignment horizontal="left"/>
    </xf>
    <xf numFmtId="168" fontId="6" fillId="0" borderId="0" xfId="6" applyNumberFormat="1" applyFont="1" applyBorder="1" applyProtection="1"/>
    <xf numFmtId="168" fontId="24" fillId="0" borderId="0" xfId="6" applyNumberFormat="1" applyFont="1" applyBorder="1" applyAlignment="1" applyProtection="1">
      <alignment horizontal="center"/>
    </xf>
    <xf numFmtId="168" fontId="9" fillId="0" borderId="0" xfId="6" applyNumberFormat="1" applyFont="1" applyBorder="1" applyAlignment="1" applyProtection="1">
      <alignment horizontal="center"/>
    </xf>
    <xf numFmtId="168" fontId="25" fillId="0" borderId="0" xfId="6" applyNumberFormat="1" applyFont="1" applyBorder="1" applyAlignment="1" applyProtection="1">
      <alignment horizontal="center"/>
    </xf>
    <xf numFmtId="168" fontId="23" fillId="0" borderId="0" xfId="6" applyNumberFormat="1" applyFont="1" applyBorder="1" applyProtection="1"/>
    <xf numFmtId="168" fontId="26" fillId="0" borderId="0" xfId="6" applyNumberFormat="1" applyFont="1" applyBorder="1" applyProtection="1"/>
    <xf numFmtId="168" fontId="23" fillId="0" borderId="0" xfId="6" applyNumberFormat="1" applyFont="1" applyBorder="1" applyAlignment="1" applyProtection="1">
      <alignment horizontal="center"/>
    </xf>
    <xf numFmtId="168" fontId="23" fillId="0" borderId="0" xfId="6" applyNumberFormat="1" applyFont="1" applyBorder="1" applyAlignment="1" applyProtection="1">
      <alignment horizontal="center" vertical="center"/>
    </xf>
    <xf numFmtId="168" fontId="24" fillId="0" borderId="0" xfId="6" applyNumberFormat="1" applyFont="1" applyBorder="1" applyAlignment="1" applyProtection="1">
      <alignment horizontal="right"/>
    </xf>
    <xf numFmtId="168" fontId="28" fillId="5" borderId="0" xfId="6" applyNumberFormat="1" applyFont="1" applyFill="1" applyBorder="1" applyAlignment="1" applyProtection="1">
      <alignment horizontal="center"/>
      <protection locked="0"/>
    </xf>
    <xf numFmtId="168" fontId="28" fillId="0" borderId="0" xfId="6" applyNumberFormat="1" applyFont="1" applyBorder="1" applyAlignment="1" applyProtection="1">
      <alignment horizontal="center"/>
    </xf>
    <xf numFmtId="168" fontId="24" fillId="5" borderId="0" xfId="6" applyNumberFormat="1" applyFont="1" applyFill="1" applyBorder="1" applyProtection="1">
      <protection locked="0"/>
    </xf>
    <xf numFmtId="168" fontId="6" fillId="0" borderId="1" xfId="6" applyNumberFormat="1" applyFont="1" applyBorder="1" applyProtection="1"/>
    <xf numFmtId="168" fontId="9" fillId="0" borderId="0" xfId="6" applyNumberFormat="1" applyFont="1" applyBorder="1" applyAlignment="1" applyProtection="1">
      <alignment horizontal="right"/>
    </xf>
    <xf numFmtId="168" fontId="6" fillId="5" borderId="0" xfId="6" applyNumberFormat="1" applyFont="1" applyFill="1" applyBorder="1" applyProtection="1">
      <protection locked="0"/>
    </xf>
    <xf numFmtId="168" fontId="9" fillId="0" borderId="0" xfId="6" applyNumberFormat="1" applyFont="1" applyBorder="1" applyProtection="1"/>
    <xf numFmtId="168" fontId="6" fillId="5" borderId="6" xfId="6" applyNumberFormat="1" applyFont="1" applyFill="1" applyBorder="1" applyProtection="1">
      <protection locked="0"/>
    </xf>
    <xf numFmtId="168" fontId="6" fillId="0" borderId="0" xfId="6" applyNumberFormat="1" applyFont="1" applyProtection="1"/>
    <xf numFmtId="168" fontId="8" fillId="0" borderId="6" xfId="6" applyNumberFormat="1" applyFont="1" applyBorder="1" applyAlignment="1" applyProtection="1">
      <alignment horizontal="right"/>
    </xf>
    <xf numFmtId="168" fontId="8" fillId="0" borderId="0" xfId="6" applyNumberFormat="1" applyFont="1" applyAlignment="1" applyProtection="1">
      <alignment horizontal="right"/>
    </xf>
    <xf numFmtId="168" fontId="26" fillId="3" borderId="0" xfId="6" applyNumberFormat="1" applyFont="1" applyFill="1" applyBorder="1" applyAlignment="1" applyProtection="1">
      <alignment horizontal="left"/>
    </xf>
    <xf numFmtId="168" fontId="9" fillId="3" borderId="0" xfId="6" applyNumberFormat="1" applyFont="1" applyFill="1" applyBorder="1" applyAlignment="1" applyProtection="1">
      <alignment horizontal="center"/>
    </xf>
    <xf numFmtId="168" fontId="26" fillId="3" borderId="0" xfId="6" applyNumberFormat="1" applyFont="1" applyFill="1" applyBorder="1" applyProtection="1"/>
    <xf numFmtId="168" fontId="23" fillId="3" borderId="0" xfId="6" applyNumberFormat="1" applyFont="1" applyFill="1" applyBorder="1" applyAlignment="1" applyProtection="1">
      <alignment horizontal="center"/>
    </xf>
    <xf numFmtId="168" fontId="23" fillId="3" borderId="0" xfId="6" applyNumberFormat="1" applyFont="1" applyFill="1" applyBorder="1" applyAlignment="1" applyProtection="1">
      <alignment horizontal="center" vertical="center"/>
    </xf>
    <xf numFmtId="168" fontId="24" fillId="3" borderId="0" xfId="6" applyNumberFormat="1" applyFont="1" applyFill="1" applyBorder="1" applyProtection="1"/>
    <xf numFmtId="168" fontId="9" fillId="3" borderId="0" xfId="6" applyNumberFormat="1" applyFont="1" applyFill="1" applyBorder="1" applyProtection="1"/>
    <xf numFmtId="167" fontId="23" fillId="0" borderId="1" xfId="3" applyNumberFormat="1" applyFont="1" applyBorder="1" applyProtection="1"/>
    <xf numFmtId="167" fontId="26" fillId="0" borderId="2" xfId="3" applyNumberFormat="1" applyFont="1" applyBorder="1" applyAlignment="1" applyProtection="1">
      <alignment horizontal="left"/>
    </xf>
    <xf numFmtId="167" fontId="23" fillId="3" borderId="1" xfId="3" applyNumberFormat="1" applyFont="1" applyFill="1" applyBorder="1" applyProtection="1"/>
    <xf numFmtId="167" fontId="26" fillId="3" borderId="9" xfId="3" applyNumberFormat="1" applyFont="1" applyFill="1" applyBorder="1" applyAlignment="1" applyProtection="1">
      <alignment horizontal="left"/>
    </xf>
    <xf numFmtId="168" fontId="21" fillId="3" borderId="8" xfId="6" applyNumberFormat="1" applyFont="1" applyFill="1" applyBorder="1" applyAlignment="1" applyProtection="1">
      <alignment horizontal="right"/>
    </xf>
    <xf numFmtId="168" fontId="21" fillId="0" borderId="8" xfId="6" applyNumberFormat="1" applyFont="1" applyBorder="1" applyAlignment="1" applyProtection="1">
      <alignment horizontal="right"/>
    </xf>
    <xf numFmtId="168" fontId="21" fillId="3" borderId="0" xfId="6" applyNumberFormat="1" applyFont="1" applyFill="1" applyBorder="1" applyAlignment="1" applyProtection="1">
      <alignment horizontal="right"/>
    </xf>
    <xf numFmtId="168" fontId="41" fillId="3" borderId="8" xfId="6" applyNumberFormat="1" applyFont="1" applyFill="1" applyBorder="1" applyAlignment="1" applyProtection="1">
      <alignment horizontal="right"/>
    </xf>
    <xf numFmtId="168" fontId="41" fillId="0" borderId="8" xfId="6" applyNumberFormat="1" applyFont="1" applyBorder="1" applyAlignment="1" applyProtection="1">
      <alignment horizontal="right"/>
    </xf>
    <xf numFmtId="168" fontId="41" fillId="3" borderId="0" xfId="6" applyNumberFormat="1" applyFont="1" applyFill="1" applyBorder="1" applyAlignment="1" applyProtection="1">
      <alignment horizontal="right"/>
    </xf>
    <xf numFmtId="168" fontId="26" fillId="3" borderId="8" xfId="6" applyNumberFormat="1" applyFont="1" applyFill="1" applyBorder="1" applyAlignment="1" applyProtection="1">
      <alignment horizontal="right"/>
    </xf>
    <xf numFmtId="168" fontId="26" fillId="3" borderId="0" xfId="6" applyNumberFormat="1" applyFont="1" applyFill="1" applyBorder="1" applyAlignment="1" applyProtection="1">
      <alignment horizontal="right"/>
    </xf>
    <xf numFmtId="168" fontId="4" fillId="3" borderId="0" xfId="6" applyNumberFormat="1" applyFont="1" applyFill="1" applyBorder="1" applyProtection="1"/>
    <xf numFmtId="168" fontId="49" fillId="3" borderId="0" xfId="6" applyNumberFormat="1" applyFont="1" applyFill="1" applyBorder="1" applyAlignment="1" applyProtection="1">
      <alignment horizontal="left" vertical="center"/>
    </xf>
    <xf numFmtId="168" fontId="14" fillId="3" borderId="0" xfId="6" applyNumberFormat="1" applyFont="1" applyFill="1" applyBorder="1" applyAlignment="1" applyProtection="1">
      <alignment horizontal="center" vertical="center"/>
    </xf>
    <xf numFmtId="168" fontId="5" fillId="3" borderId="0" xfId="6" applyNumberFormat="1" applyFont="1" applyFill="1" applyBorder="1" applyAlignment="1" applyProtection="1">
      <alignment horizontal="center" vertical="center"/>
    </xf>
    <xf numFmtId="167" fontId="26" fillId="0" borderId="1" xfId="3" applyNumberFormat="1" applyFont="1" applyBorder="1" applyAlignment="1" applyProtection="1">
      <alignment horizontal="left"/>
    </xf>
    <xf numFmtId="9" fontId="26" fillId="0" borderId="0" xfId="0" applyNumberFormat="1" applyFont="1" applyFill="1" applyBorder="1" applyAlignment="1" applyProtection="1">
      <alignment horizontal="right"/>
    </xf>
    <xf numFmtId="9" fontId="26" fillId="0" borderId="0" xfId="0" applyNumberFormat="1" applyFont="1" applyFill="1" applyBorder="1" applyAlignment="1" applyProtection="1">
      <alignment horizontal="right" vertical="center"/>
    </xf>
    <xf numFmtId="168" fontId="21" fillId="0" borderId="0" xfId="6" applyNumberFormat="1" applyFont="1" applyBorder="1" applyAlignment="1" applyProtection="1">
      <alignment horizontal="right"/>
    </xf>
    <xf numFmtId="168" fontId="41" fillId="0" borderId="0" xfId="6" applyNumberFormat="1" applyFont="1" applyBorder="1" applyAlignment="1" applyProtection="1">
      <alignment horizontal="right"/>
    </xf>
    <xf numFmtId="168" fontId="26" fillId="0" borderId="0" xfId="6" applyNumberFormat="1" applyFont="1" applyBorder="1" applyAlignment="1" applyProtection="1">
      <alignment horizontal="right"/>
    </xf>
    <xf numFmtId="0" fontId="8" fillId="0" borderId="1" xfId="0" applyFont="1" applyBorder="1" applyAlignment="1" applyProtection="1">
      <alignment horizontal="right"/>
    </xf>
    <xf numFmtId="165" fontId="26" fillId="0" borderId="0" xfId="0" applyNumberFormat="1" applyFont="1" applyBorder="1" applyAlignment="1" applyProtection="1">
      <alignment horizontal="right"/>
    </xf>
    <xf numFmtId="165" fontId="8" fillId="0" borderId="0" xfId="0" applyNumberFormat="1" applyFont="1" applyBorder="1" applyAlignment="1" applyProtection="1">
      <alignment horizontal="right"/>
    </xf>
    <xf numFmtId="165" fontId="8" fillId="0" borderId="6" xfId="0" applyNumberFormat="1" applyFont="1" applyBorder="1" applyAlignment="1" applyProtection="1">
      <alignment horizontal="right"/>
    </xf>
    <xf numFmtId="167" fontId="26" fillId="3" borderId="1" xfId="3" applyNumberFormat="1" applyFont="1" applyFill="1" applyBorder="1" applyAlignment="1" applyProtection="1">
      <alignment horizontal="left"/>
    </xf>
    <xf numFmtId="0" fontId="21" fillId="3" borderId="3" xfId="0" applyFont="1" applyFill="1" applyBorder="1" applyAlignment="1" applyProtection="1">
      <alignment horizontal="right"/>
    </xf>
    <xf numFmtId="167" fontId="21" fillId="3" borderId="0" xfId="0" applyNumberFormat="1" applyFont="1" applyFill="1" applyBorder="1" applyAlignment="1" applyProtection="1">
      <alignment horizontal="right"/>
    </xf>
    <xf numFmtId="9" fontId="26" fillId="3" borderId="0" xfId="0" applyNumberFormat="1" applyFont="1" applyFill="1" applyBorder="1" applyAlignment="1" applyProtection="1">
      <alignment horizontal="right" vertical="center"/>
    </xf>
    <xf numFmtId="165" fontId="8" fillId="3" borderId="0" xfId="0" applyNumberFormat="1" applyFont="1" applyFill="1" applyBorder="1" applyAlignment="1" applyProtection="1">
      <alignment horizontal="right" vertical="center"/>
    </xf>
    <xf numFmtId="168" fontId="48" fillId="0" borderId="0" xfId="6" applyNumberFormat="1" applyFont="1" applyBorder="1" applyAlignment="1" applyProtection="1">
      <alignment horizontal="left" vertical="center"/>
    </xf>
    <xf numFmtId="168" fontId="13" fillId="0" borderId="0" xfId="6" applyNumberFormat="1" applyFont="1" applyBorder="1" applyAlignment="1" applyProtection="1">
      <alignment vertical="center"/>
    </xf>
    <xf numFmtId="168" fontId="4" fillId="0" borderId="0" xfId="6" applyNumberFormat="1" applyFont="1" applyBorder="1" applyAlignment="1" applyProtection="1">
      <alignment vertical="center"/>
    </xf>
    <xf numFmtId="0" fontId="11" fillId="2" borderId="57" xfId="0" applyFont="1" applyFill="1" applyBorder="1" applyAlignment="1" applyProtection="1">
      <alignment horizontal="center" vertical="center"/>
    </xf>
    <xf numFmtId="0" fontId="53" fillId="2" borderId="57" xfId="0" applyFont="1" applyFill="1" applyBorder="1" applyAlignment="1" applyProtection="1">
      <alignment horizontal="center" vertical="center"/>
    </xf>
    <xf numFmtId="0" fontId="51" fillId="2" borderId="57" xfId="0" applyFont="1" applyFill="1" applyBorder="1" applyAlignment="1" applyProtection="1">
      <alignment vertical="center" wrapText="1"/>
    </xf>
    <xf numFmtId="1" fontId="6" fillId="18" borderId="0" xfId="0" applyNumberFormat="1" applyFont="1" applyFill="1" applyBorder="1" applyAlignment="1" applyProtection="1">
      <alignment horizontal="center" vertical="center"/>
      <protection locked="0"/>
    </xf>
    <xf numFmtId="1" fontId="28" fillId="5" borderId="0" xfId="0" applyNumberFormat="1" applyFont="1" applyFill="1" applyBorder="1" applyAlignment="1" applyProtection="1">
      <alignment horizontal="center"/>
      <protection locked="0"/>
    </xf>
    <xf numFmtId="1" fontId="41" fillId="0" borderId="8" xfId="0" applyNumberFormat="1" applyFont="1" applyBorder="1" applyAlignment="1" applyProtection="1">
      <alignment horizontal="right"/>
    </xf>
    <xf numFmtId="1" fontId="28" fillId="0" borderId="0" xfId="0" applyNumberFormat="1" applyFont="1" applyBorder="1" applyAlignment="1" applyProtection="1">
      <alignment horizontal="center"/>
    </xf>
    <xf numFmtId="1" fontId="24" fillId="5" borderId="0" xfId="0" applyNumberFormat="1" applyFont="1" applyFill="1" applyBorder="1" applyProtection="1">
      <protection locked="0"/>
    </xf>
    <xf numFmtId="1" fontId="26" fillId="0" borderId="8" xfId="0" applyNumberFormat="1" applyFont="1" applyBorder="1" applyAlignment="1" applyProtection="1">
      <alignment horizontal="right"/>
    </xf>
    <xf numFmtId="1" fontId="4" fillId="0" borderId="0" xfId="0" applyNumberFormat="1" applyFont="1"/>
    <xf numFmtId="168" fontId="16" fillId="0" borderId="0" xfId="6" applyNumberFormat="1" applyFont="1" applyBorder="1" applyAlignment="1" applyProtection="1">
      <alignment horizontal="left" vertical="center"/>
    </xf>
    <xf numFmtId="44" fontId="16" fillId="0" borderId="0" xfId="0" applyNumberFormat="1" applyFont="1" applyBorder="1" applyAlignment="1" applyProtection="1">
      <alignment horizontal="left" vertical="center"/>
    </xf>
    <xf numFmtId="168" fontId="32" fillId="2" borderId="0" xfId="6" applyNumberFormat="1" applyFont="1" applyFill="1" applyBorder="1" applyAlignment="1" applyProtection="1">
      <alignment horizontal="center" vertical="center"/>
    </xf>
    <xf numFmtId="44" fontId="4" fillId="0" borderId="0" xfId="5" applyFont="1" applyBorder="1" applyAlignment="1" applyProtection="1">
      <alignment vertical="center"/>
    </xf>
    <xf numFmtId="168" fontId="4" fillId="0" borderId="0" xfId="6" applyNumberFormat="1" applyFont="1" applyFill="1" applyBorder="1" applyAlignment="1" applyProtection="1">
      <alignment vertical="center"/>
    </xf>
    <xf numFmtId="168" fontId="59" fillId="0" borderId="0" xfId="6" applyNumberFormat="1" applyFont="1" applyBorder="1" applyAlignment="1" applyProtection="1">
      <alignment horizontal="left" vertical="center"/>
    </xf>
    <xf numFmtId="166" fontId="59" fillId="0" borderId="0" xfId="0" applyNumberFormat="1" applyFont="1" applyBorder="1" applyAlignment="1" applyProtection="1">
      <alignment horizontal="left" vertical="center"/>
    </xf>
    <xf numFmtId="0" fontId="51" fillId="2" borderId="52" xfId="0" applyFont="1" applyFill="1" applyBorder="1" applyAlignment="1">
      <alignment horizontal="center" vertical="center" wrapText="1"/>
    </xf>
    <xf numFmtId="166" fontId="9" fillId="0" borderId="46" xfId="0" applyNumberFormat="1" applyFont="1" applyBorder="1" applyAlignment="1">
      <alignment horizontal="center" vertical="center" wrapText="1"/>
    </xf>
    <xf numFmtId="166" fontId="10" fillId="9" borderId="46" xfId="0" applyNumberFormat="1" applyFont="1" applyFill="1" applyBorder="1" applyAlignment="1">
      <alignment horizontal="center" vertical="center"/>
    </xf>
    <xf numFmtId="166" fontId="9" fillId="0" borderId="50" xfId="0" applyNumberFormat="1" applyFont="1" applyBorder="1" applyAlignment="1">
      <alignment horizontal="center" vertical="center" wrapText="1"/>
    </xf>
    <xf numFmtId="166" fontId="10" fillId="9" borderId="50" xfId="0" applyNumberFormat="1" applyFont="1" applyFill="1" applyBorder="1" applyAlignment="1">
      <alignment horizontal="center" vertical="center"/>
    </xf>
    <xf numFmtId="43" fontId="0" fillId="11" borderId="56" xfId="6" applyNumberFormat="1" applyFont="1" applyFill="1" applyBorder="1"/>
    <xf numFmtId="9" fontId="51" fillId="2" borderId="53" xfId="3" applyFont="1" applyFill="1" applyBorder="1" applyAlignment="1">
      <alignment horizontal="center" vertical="center"/>
    </xf>
    <xf numFmtId="9" fontId="54" fillId="9" borderId="53" xfId="3" applyFont="1" applyFill="1" applyBorder="1" applyAlignment="1">
      <alignment horizontal="center" vertical="center"/>
    </xf>
    <xf numFmtId="9" fontId="54" fillId="9" borderId="46" xfId="3" applyFont="1" applyFill="1" applyBorder="1" applyAlignment="1">
      <alignment horizontal="center" vertical="center"/>
    </xf>
    <xf numFmtId="9" fontId="54" fillId="9" borderId="50" xfId="3" applyFont="1" applyFill="1" applyBorder="1" applyAlignment="1">
      <alignment horizontal="center" vertical="center"/>
    </xf>
    <xf numFmtId="0" fontId="11" fillId="2" borderId="40" xfId="0" applyFont="1" applyFill="1" applyBorder="1" applyAlignment="1" applyProtection="1">
      <alignment horizontal="center"/>
    </xf>
    <xf numFmtId="0" fontId="32" fillId="2" borderId="0" xfId="0" applyFont="1" applyFill="1" applyBorder="1" applyAlignment="1" applyProtection="1">
      <alignment horizontal="center" vertical="center"/>
    </xf>
    <xf numFmtId="0" fontId="32" fillId="2" borderId="46" xfId="0" applyFont="1" applyFill="1" applyBorder="1" applyAlignment="1" applyProtection="1">
      <alignment horizontal="center" vertical="center"/>
    </xf>
    <xf numFmtId="0" fontId="32" fillId="2" borderId="44"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0" fontId="11" fillId="2" borderId="11" xfId="0" applyFont="1" applyFill="1" applyBorder="1" applyProtection="1"/>
    <xf numFmtId="0" fontId="11" fillId="2" borderId="0" xfId="0" applyFont="1" applyFill="1" applyBorder="1" applyProtection="1"/>
    <xf numFmtId="168" fontId="53" fillId="17" borderId="0" xfId="0" applyNumberFormat="1" applyFont="1" applyFill="1" applyBorder="1" applyAlignment="1" applyProtection="1">
      <alignment horizontal="center" vertical="center" wrapText="1"/>
    </xf>
    <xf numFmtId="168" fontId="0" fillId="0" borderId="0" xfId="0" applyNumberFormat="1" applyBorder="1"/>
    <xf numFmtId="168" fontId="6" fillId="0" borderId="63" xfId="6" applyNumberFormat="1" applyFont="1" applyFill="1" applyBorder="1" applyProtection="1"/>
    <xf numFmtId="168" fontId="6" fillId="0" borderId="4" xfId="6" applyNumberFormat="1" applyFont="1" applyFill="1" applyBorder="1" applyProtection="1"/>
    <xf numFmtId="168" fontId="6" fillId="0" borderId="64" xfId="6" applyNumberFormat="1" applyFont="1" applyFill="1" applyBorder="1" applyProtection="1"/>
    <xf numFmtId="168" fontId="6" fillId="0" borderId="65" xfId="6" applyNumberFormat="1" applyFont="1" applyFill="1" applyBorder="1" applyProtection="1"/>
    <xf numFmtId="168" fontId="6" fillId="0" borderId="65" xfId="6" applyNumberFormat="1" applyFont="1" applyFill="1" applyBorder="1"/>
    <xf numFmtId="168" fontId="6" fillId="11" borderId="65" xfId="6" applyNumberFormat="1" applyFont="1" applyFill="1" applyBorder="1"/>
    <xf numFmtId="168" fontId="6" fillId="12" borderId="65" xfId="6" applyNumberFormat="1" applyFont="1" applyFill="1" applyBorder="1"/>
    <xf numFmtId="168" fontId="6" fillId="13" borderId="65" xfId="6" applyNumberFormat="1" applyFont="1" applyFill="1" applyBorder="1"/>
    <xf numFmtId="168" fontId="6" fillId="14" borderId="65" xfId="6" applyNumberFormat="1" applyFont="1" applyFill="1" applyBorder="1"/>
    <xf numFmtId="168" fontId="6" fillId="16" borderId="65" xfId="6" applyNumberFormat="1" applyFont="1" applyFill="1" applyBorder="1"/>
    <xf numFmtId="168" fontId="6" fillId="15" borderId="66" xfId="6" applyNumberFormat="1" applyFont="1" applyFill="1" applyBorder="1"/>
    <xf numFmtId="168" fontId="6" fillId="16" borderId="6" xfId="6" applyNumberFormat="1" applyFont="1" applyFill="1" applyBorder="1"/>
    <xf numFmtId="168" fontId="6" fillId="14" borderId="6" xfId="6" applyNumberFormat="1" applyFont="1" applyFill="1" applyBorder="1"/>
    <xf numFmtId="168" fontId="6" fillId="13" borderId="6" xfId="6" applyNumberFormat="1" applyFont="1" applyFill="1" applyBorder="1"/>
    <xf numFmtId="168" fontId="6" fillId="0" borderId="36" xfId="6" applyNumberFormat="1" applyFont="1" applyFill="1" applyBorder="1" applyProtection="1"/>
    <xf numFmtId="168" fontId="6" fillId="0" borderId="36" xfId="6" applyNumberFormat="1" applyFont="1" applyFill="1" applyBorder="1"/>
    <xf numFmtId="168" fontId="6" fillId="11" borderId="36" xfId="6" applyNumberFormat="1" applyFont="1" applyFill="1" applyBorder="1"/>
    <xf numFmtId="168" fontId="6" fillId="12" borderId="67" xfId="6" applyNumberFormat="1" applyFont="1" applyFill="1" applyBorder="1"/>
    <xf numFmtId="168" fontId="16" fillId="0" borderId="44" xfId="6" applyNumberFormat="1" applyFont="1" applyBorder="1" applyAlignment="1" applyProtection="1">
      <alignment horizontal="left" vertical="center"/>
    </xf>
    <xf numFmtId="166" fontId="16" fillId="0" borderId="44" xfId="0" applyNumberFormat="1" applyFont="1" applyBorder="1" applyAlignment="1" applyProtection="1">
      <alignment horizontal="left" vertical="center"/>
    </xf>
    <xf numFmtId="44" fontId="16" fillId="0" borderId="44" xfId="0" applyNumberFormat="1" applyFont="1" applyBorder="1" applyAlignment="1" applyProtection="1">
      <alignment horizontal="left" vertical="center"/>
    </xf>
    <xf numFmtId="44" fontId="50" fillId="0" borderId="0" xfId="0" applyNumberFormat="1" applyFont="1" applyBorder="1" applyAlignment="1" applyProtection="1">
      <alignment horizontal="left" vertical="center"/>
    </xf>
    <xf numFmtId="44" fontId="50" fillId="0" borderId="51" xfId="5" applyFont="1" applyBorder="1" applyAlignment="1" applyProtection="1">
      <alignment horizontal="right" vertical="center"/>
    </xf>
    <xf numFmtId="166" fontId="4" fillId="0" borderId="68" xfId="0" applyNumberFormat="1" applyFont="1" applyFill="1" applyBorder="1" applyAlignment="1" applyProtection="1">
      <alignment vertical="center"/>
    </xf>
    <xf numFmtId="0" fontId="4" fillId="0" borderId="46" xfId="0" applyFont="1" applyFill="1" applyBorder="1" applyAlignment="1" applyProtection="1">
      <alignment vertical="center"/>
    </xf>
    <xf numFmtId="9" fontId="0" fillId="0" borderId="0" xfId="3" applyFont="1" applyAlignment="1">
      <alignment horizontal="center" vertical="center"/>
    </xf>
    <xf numFmtId="2" fontId="54" fillId="9" borderId="0" xfId="3" applyNumberFormat="1" applyFont="1" applyFill="1" applyBorder="1" applyAlignment="1">
      <alignment horizontal="center" vertical="center"/>
    </xf>
    <xf numFmtId="9" fontId="55" fillId="9" borderId="0" xfId="3" applyNumberFormat="1" applyFont="1" applyFill="1" applyBorder="1" applyAlignment="1">
      <alignment horizontal="center" vertical="center"/>
    </xf>
    <xf numFmtId="0" fontId="32" fillId="2" borderId="48" xfId="0" applyFont="1" applyFill="1" applyBorder="1" applyAlignment="1">
      <alignment horizontal="center" vertical="center"/>
    </xf>
    <xf numFmtId="166" fontId="0" fillId="0" borderId="0" xfId="0" applyNumberFormat="1"/>
    <xf numFmtId="9" fontId="54" fillId="9" borderId="0" xfId="3" applyFont="1" applyFill="1" applyBorder="1" applyAlignment="1">
      <alignment horizontal="center" vertical="center"/>
    </xf>
    <xf numFmtId="1" fontId="0" fillId="0" borderId="0" xfId="0" applyNumberFormat="1" applyProtection="1">
      <protection locked="0"/>
    </xf>
    <xf numFmtId="0" fontId="60" fillId="6" borderId="0" xfId="0" applyFont="1" applyFill="1" applyBorder="1" applyAlignment="1">
      <alignment vertical="center" wrapText="1"/>
    </xf>
    <xf numFmtId="0" fontId="12" fillId="6" borderId="0" xfId="0" applyFont="1" applyFill="1" applyBorder="1" applyAlignment="1" applyProtection="1">
      <alignment wrapText="1"/>
      <protection locked="0"/>
    </xf>
    <xf numFmtId="0" fontId="4" fillId="6" borderId="0" xfId="0" applyFont="1" applyFill="1" applyBorder="1" applyAlignment="1" applyProtection="1">
      <alignment wrapText="1"/>
      <protection locked="0"/>
    </xf>
    <xf numFmtId="0" fontId="42" fillId="6" borderId="22" xfId="0" applyFont="1" applyFill="1" applyBorder="1" applyAlignment="1">
      <alignment horizontal="center"/>
    </xf>
    <xf numFmtId="0" fontId="42" fillId="6" borderId="0" xfId="0" applyFont="1" applyFill="1" applyBorder="1" applyAlignment="1">
      <alignment horizontal="center"/>
    </xf>
    <xf numFmtId="0" fontId="42" fillId="6" borderId="23" xfId="0" applyFont="1" applyFill="1" applyBorder="1" applyAlignment="1">
      <alignment horizontal="center"/>
    </xf>
    <xf numFmtId="0" fontId="9" fillId="6" borderId="0" xfId="0" applyFont="1" applyFill="1" applyBorder="1" applyAlignment="1">
      <alignment horizontal="center" wrapText="1"/>
    </xf>
    <xf numFmtId="0" fontId="6" fillId="8" borderId="28" xfId="0" applyFont="1" applyFill="1" applyBorder="1" applyAlignment="1">
      <alignment horizontal="left" vertical="center" wrapText="1" indent="2"/>
    </xf>
    <xf numFmtId="0" fontId="6" fillId="8" borderId="29" xfId="0" applyFont="1" applyFill="1" applyBorder="1" applyAlignment="1">
      <alignment horizontal="left" vertical="center" wrapText="1" indent="2"/>
    </xf>
    <xf numFmtId="0" fontId="6" fillId="8" borderId="27" xfId="0" applyFont="1" applyFill="1" applyBorder="1" applyAlignment="1">
      <alignment horizontal="left" vertical="center" wrapText="1" indent="2"/>
    </xf>
    <xf numFmtId="0" fontId="6" fillId="8" borderId="30" xfId="0" applyFont="1" applyFill="1" applyBorder="1" applyAlignment="1">
      <alignment horizontal="left" vertical="center" wrapText="1" indent="2"/>
    </xf>
    <xf numFmtId="0" fontId="4" fillId="8" borderId="31" xfId="0" applyFont="1" applyFill="1" applyBorder="1" applyAlignment="1">
      <alignment horizontal="left" vertical="center" wrapText="1" indent="2"/>
    </xf>
    <xf numFmtId="0" fontId="4" fillId="8" borderId="32" xfId="0" applyFont="1" applyFill="1" applyBorder="1" applyAlignment="1">
      <alignment horizontal="left" vertical="center" wrapText="1" indent="2"/>
    </xf>
    <xf numFmtId="0" fontId="6" fillId="6" borderId="0" xfId="0" applyFont="1" applyFill="1"/>
    <xf numFmtId="0" fontId="6" fillId="6" borderId="0" xfId="0" applyFont="1" applyFill="1" applyBorder="1" applyAlignment="1">
      <alignment wrapText="1"/>
    </xf>
    <xf numFmtId="0" fontId="36" fillId="6" borderId="0" xfId="4" applyFont="1" applyFill="1" applyBorder="1" applyAlignment="1">
      <alignment wrapText="1"/>
    </xf>
    <xf numFmtId="0" fontId="4" fillId="6" borderId="0" xfId="0" applyFont="1" applyFill="1" applyBorder="1" applyAlignment="1">
      <alignment wrapText="1"/>
    </xf>
    <xf numFmtId="0" fontId="12" fillId="6" borderId="0" xfId="0" applyFont="1" applyFill="1" applyBorder="1" applyAlignment="1">
      <alignment wrapText="1"/>
    </xf>
    <xf numFmtId="0" fontId="37" fillId="6" borderId="0" xfId="0" applyFont="1" applyFill="1" applyBorder="1" applyAlignment="1">
      <alignment wrapText="1"/>
    </xf>
    <xf numFmtId="0" fontId="11" fillId="2" borderId="61" xfId="0" applyFont="1" applyFill="1" applyBorder="1" applyAlignment="1" applyProtection="1">
      <alignment horizontal="center" vertical="center"/>
    </xf>
    <xf numFmtId="0" fontId="11" fillId="2" borderId="62"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53" fillId="2" borderId="57" xfId="0" applyFont="1" applyFill="1" applyBorder="1" applyAlignment="1" applyProtection="1">
      <alignment horizontal="center" vertical="center"/>
    </xf>
    <xf numFmtId="0" fontId="53" fillId="17" borderId="0" xfId="0" applyFont="1" applyFill="1" applyBorder="1" applyAlignment="1" applyProtection="1">
      <alignment horizontal="center" vertical="top" wrapText="1"/>
    </xf>
    <xf numFmtId="0" fontId="51" fillId="17" borderId="0" xfId="0" applyFont="1" applyFill="1" applyBorder="1" applyAlignment="1" applyProtection="1">
      <alignment horizontal="center" vertical="center" wrapText="1"/>
    </xf>
    <xf numFmtId="0" fontId="22" fillId="4" borderId="35" xfId="0" applyFont="1" applyFill="1" applyBorder="1" applyAlignment="1" applyProtection="1">
      <alignment horizontal="center"/>
    </xf>
    <xf numFmtId="0" fontId="11" fillId="2" borderId="4" xfId="0" applyFont="1" applyFill="1" applyBorder="1" applyAlignment="1" applyProtection="1">
      <alignment horizontal="center" vertical="center"/>
    </xf>
    <xf numFmtId="0" fontId="11" fillId="2" borderId="40" xfId="0" applyFont="1" applyFill="1" applyBorder="1" applyAlignment="1" applyProtection="1">
      <alignment horizontal="center"/>
    </xf>
    <xf numFmtId="0" fontId="11" fillId="2" borderId="42" xfId="0" applyFont="1" applyFill="1" applyBorder="1" applyAlignment="1" applyProtection="1">
      <alignment horizontal="center" vertical="center"/>
    </xf>
    <xf numFmtId="0" fontId="11" fillId="2" borderId="43" xfId="0" applyFont="1" applyFill="1" applyBorder="1" applyAlignment="1" applyProtection="1">
      <alignment horizontal="center" vertical="center"/>
    </xf>
    <xf numFmtId="0" fontId="11" fillId="2" borderId="38" xfId="0" applyFont="1" applyFill="1" applyBorder="1" applyAlignment="1" applyProtection="1">
      <alignment horizontal="center"/>
    </xf>
    <xf numFmtId="0" fontId="11" fillId="2" borderId="39" xfId="0" applyFont="1" applyFill="1" applyBorder="1" applyAlignment="1" applyProtection="1">
      <alignment horizontal="center"/>
    </xf>
    <xf numFmtId="0" fontId="11" fillId="2" borderId="41" xfId="0" applyFont="1" applyFill="1" applyBorder="1" applyAlignment="1" applyProtection="1">
      <alignment horizontal="center"/>
    </xf>
    <xf numFmtId="0" fontId="31" fillId="2" borderId="48" xfId="0" applyFont="1" applyFill="1" applyBorder="1" applyAlignment="1" applyProtection="1">
      <alignment horizontal="right" vertical="center"/>
    </xf>
    <xf numFmtId="0" fontId="31" fillId="2" borderId="0" xfId="0" applyFont="1" applyFill="1" applyBorder="1" applyAlignment="1" applyProtection="1">
      <alignment horizontal="right" vertical="center"/>
    </xf>
    <xf numFmtId="0" fontId="22" fillId="4" borderId="0" xfId="0" applyFont="1" applyFill="1" applyBorder="1" applyAlignment="1" applyProtection="1">
      <alignment horizontal="center" vertical="center"/>
    </xf>
    <xf numFmtId="0" fontId="32" fillId="2" borderId="45" xfId="0" applyFont="1" applyFill="1" applyBorder="1" applyAlignment="1" applyProtection="1">
      <alignment horizontal="center" vertical="center"/>
    </xf>
    <xf numFmtId="0" fontId="32" fillId="2" borderId="46" xfId="0" applyFont="1" applyFill="1" applyBorder="1" applyAlignment="1" applyProtection="1">
      <alignment horizontal="center" vertical="center"/>
    </xf>
    <xf numFmtId="0" fontId="32" fillId="2" borderId="47" xfId="0" applyFont="1" applyFill="1" applyBorder="1" applyAlignment="1" applyProtection="1">
      <alignment horizontal="center" vertical="center"/>
    </xf>
    <xf numFmtId="0" fontId="31" fillId="2" borderId="49" xfId="0" applyFont="1" applyFill="1" applyBorder="1" applyAlignment="1" applyProtection="1">
      <alignment horizontal="right" vertical="center"/>
    </xf>
    <xf numFmtId="0" fontId="31" fillId="2" borderId="50" xfId="0" applyFont="1" applyFill="1" applyBorder="1" applyAlignment="1" applyProtection="1">
      <alignment horizontal="right" vertical="center"/>
    </xf>
    <xf numFmtId="0" fontId="32" fillId="2" borderId="19"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21" xfId="0" applyFont="1" applyFill="1" applyBorder="1" applyAlignment="1" applyProtection="1">
      <alignment horizontal="center" vertical="center"/>
    </xf>
    <xf numFmtId="0" fontId="32" fillId="2" borderId="22"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2" fillId="2" borderId="23" xfId="0" applyFont="1" applyFill="1" applyBorder="1" applyAlignment="1" applyProtection="1">
      <alignment horizontal="center" vertical="center"/>
    </xf>
    <xf numFmtId="0" fontId="32" fillId="2" borderId="48" xfId="0" applyFont="1" applyFill="1" applyBorder="1" applyAlignment="1" applyProtection="1">
      <alignment horizontal="center" vertical="center"/>
    </xf>
    <xf numFmtId="0" fontId="32" fillId="2" borderId="44" xfId="0" applyFont="1" applyFill="1" applyBorder="1" applyAlignment="1" applyProtection="1">
      <alignment horizontal="center" vertical="center"/>
    </xf>
    <xf numFmtId="0" fontId="32" fillId="2" borderId="45" xfId="0" applyFont="1" applyFill="1" applyBorder="1" applyAlignment="1">
      <alignment horizontal="center" vertical="center"/>
    </xf>
    <xf numFmtId="0" fontId="32" fillId="2" borderId="49" xfId="0" applyFont="1" applyFill="1" applyBorder="1" applyAlignment="1">
      <alignment horizontal="center" vertical="center"/>
    </xf>
    <xf numFmtId="0" fontId="32" fillId="2" borderId="48" xfId="0" applyFont="1" applyFill="1" applyBorder="1" applyAlignment="1">
      <alignment horizontal="center" vertical="center"/>
    </xf>
    <xf numFmtId="0" fontId="4" fillId="0" borderId="0" xfId="0" applyFont="1" applyBorder="1" applyAlignment="1">
      <alignment horizontal="center"/>
    </xf>
    <xf numFmtId="0" fontId="44" fillId="6" borderId="0" xfId="4" applyFont="1" applyFill="1" applyBorder="1" applyAlignment="1">
      <alignment wrapText="1"/>
    </xf>
    <xf numFmtId="0" fontId="35" fillId="6" borderId="0" xfId="4" applyFont="1" applyFill="1" applyBorder="1" applyAlignment="1">
      <alignment wrapText="1"/>
    </xf>
  </cellXfs>
  <cellStyles count="28">
    <cellStyle name="Comma" xfId="6" builtinId="3"/>
    <cellStyle name="Comma 2" xfId="27"/>
    <cellStyle name="Currency" xfId="5" builtinId="4"/>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Hyperlink" xfId="4" builtinId="8" customBuiltin="1"/>
    <cellStyle name="Normal" xfId="0" builtinId="0"/>
    <cellStyle name="Normal 2" xfId="26"/>
    <cellStyle name="Normal_2006-07 Total Expenditures 9-12-08_Exp07-08AFR5-26-09" xfId="1"/>
    <cellStyle name="Normal_Exp07-08AFR5-26-09" xfId="2"/>
    <cellStyle name="Percent" xfId="3" builtinId="5"/>
  </cellStyles>
  <dxfs count="33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ill>
        <patternFill>
          <bgColor rgb="FF16958F"/>
        </patternFill>
      </fill>
    </dxf>
    <dxf>
      <font>
        <color theme="1" tint="0.499984740745262"/>
      </font>
      <fill>
        <patternFill>
          <bgColor theme="1" tint="0.49998474074526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79998168889431442"/>
      </font>
    </dxf>
    <dxf>
      <font>
        <color theme="5"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5" tint="0.79998168889431442"/>
      </font>
    </dxf>
    <dxf>
      <font>
        <color theme="0"/>
      </font>
    </dxf>
    <dxf>
      <font>
        <color theme="0"/>
      </font>
    </dxf>
    <dxf>
      <font>
        <color theme="5" tint="0.79998168889431442"/>
      </font>
    </dxf>
    <dxf>
      <font>
        <color theme="0"/>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0"/>
      </font>
    </dxf>
    <dxf>
      <font>
        <color theme="5" tint="0.79998168889431442"/>
      </font>
    </dxf>
    <dxf>
      <font>
        <color theme="0"/>
      </font>
    </dxf>
    <dxf>
      <font>
        <color theme="5" tint="0.79998168889431442"/>
      </font>
    </dxf>
    <dxf>
      <font>
        <color theme="0"/>
      </font>
    </dxf>
    <dxf>
      <font>
        <color theme="5" tint="0.79998168889431442"/>
      </font>
    </dxf>
    <dxf>
      <font>
        <color theme="5" tint="0.79998168889431442"/>
      </font>
    </dxf>
    <dxf>
      <font>
        <color theme="0"/>
      </font>
    </dxf>
    <dxf>
      <font>
        <color theme="5" tint="0.79998168889431442"/>
      </font>
    </dxf>
    <dxf>
      <font>
        <color theme="5" tint="0.79998168889431442"/>
      </font>
    </dxf>
    <dxf>
      <font>
        <color theme="5" tint="0.79998168889431442"/>
      </font>
    </dxf>
    <dxf>
      <font>
        <color theme="0"/>
      </font>
    </dxf>
    <dxf>
      <font>
        <color theme="5" tint="0.79998168889431442"/>
      </font>
    </dxf>
    <dxf>
      <font>
        <color theme="5" tint="0.79998168889431442"/>
      </font>
    </dxf>
    <dxf>
      <font>
        <color theme="0"/>
      </font>
    </dxf>
    <dxf>
      <font>
        <color theme="0"/>
      </font>
    </dxf>
    <dxf>
      <font>
        <color theme="5" tint="0.79998168889431442"/>
      </font>
    </dxf>
    <dxf>
      <font>
        <color theme="0"/>
      </font>
    </dxf>
    <dxf>
      <font>
        <color theme="0"/>
      </font>
    </dxf>
    <dxf>
      <font>
        <color theme="5" tint="0.79998168889431442"/>
      </font>
    </dxf>
    <dxf>
      <font>
        <color theme="0"/>
      </font>
    </dxf>
    <dxf>
      <font>
        <color theme="0"/>
      </font>
    </dxf>
    <dxf>
      <font>
        <color theme="5" tint="0.79998168889431442"/>
      </font>
    </dxf>
    <dxf>
      <font>
        <color theme="0"/>
      </font>
    </dxf>
    <dxf>
      <font>
        <color theme="5" tint="0.79998168889431442"/>
      </font>
    </dxf>
    <dxf>
      <font>
        <color theme="0"/>
      </font>
    </dxf>
    <dxf>
      <font>
        <color theme="5" tint="0.79998168889431442"/>
      </font>
    </dxf>
    <dxf>
      <font>
        <color theme="0"/>
      </font>
    </dxf>
    <dxf>
      <font>
        <color theme="5" tint="0.79998168889431442"/>
      </font>
    </dxf>
    <dxf>
      <font>
        <color theme="0"/>
      </font>
    </dxf>
    <dxf>
      <font>
        <color theme="0"/>
      </font>
    </dxf>
    <dxf>
      <font>
        <color theme="5" tint="0.79998168889431442"/>
      </font>
    </dxf>
    <dxf>
      <font>
        <color theme="0"/>
      </font>
    </dxf>
    <dxf>
      <font>
        <color theme="0"/>
      </font>
    </dxf>
    <dxf>
      <font>
        <color theme="5" tint="0.79998168889431442"/>
      </font>
    </dxf>
  </dxfs>
  <tableStyles count="0" defaultTableStyle="TableStyleMedium2" defaultPivotStyle="PivotStyleLight16"/>
  <colors>
    <mruColors>
      <color rgb="FF106E6A"/>
      <color rgb="FF16958F"/>
      <color rgb="FF95EFEB"/>
      <color rgb="FFF79B73"/>
      <color rgb="FFFFB3B3"/>
      <color rgb="FFF15D29"/>
      <color rgb="FF1495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15D29"/>
  </sheetPr>
  <dimension ref="B1:F34"/>
  <sheetViews>
    <sheetView topLeftCell="A25" zoomScale="110" zoomScaleNormal="110" zoomScalePageLayoutView="150" workbookViewId="0">
      <selection activeCell="E5" sqref="E5"/>
    </sheetView>
  </sheetViews>
  <sheetFormatPr defaultColWidth="8.7109375" defaultRowHeight="15.75" x14ac:dyDescent="0.3"/>
  <cols>
    <col min="1" max="1" width="8.7109375" style="4"/>
    <col min="2" max="2" width="9.28515625" style="50" customWidth="1"/>
    <col min="3" max="3" width="0.7109375" style="4" customWidth="1"/>
    <col min="4" max="4" width="16.42578125" style="38" customWidth="1"/>
    <col min="5" max="5" width="74.28515625" style="38" customWidth="1"/>
    <col min="6" max="16384" width="8.7109375" style="4"/>
  </cols>
  <sheetData>
    <row r="1" spans="2:6" ht="16.5" thickBot="1" x14ac:dyDescent="0.35"/>
    <row r="2" spans="2:6" x14ac:dyDescent="0.3">
      <c r="B2" s="51"/>
      <c r="C2" s="39"/>
      <c r="D2" s="40"/>
      <c r="E2" s="40"/>
      <c r="F2" s="41"/>
    </row>
    <row r="3" spans="2:6" x14ac:dyDescent="0.3">
      <c r="B3" s="49"/>
      <c r="C3" s="42"/>
      <c r="D3" s="55" t="s">
        <v>286</v>
      </c>
      <c r="E3" s="139" t="s">
        <v>567</v>
      </c>
      <c r="F3" s="44"/>
    </row>
    <row r="4" spans="2:6" ht="122.25" x14ac:dyDescent="0.3">
      <c r="B4" s="49"/>
      <c r="C4" s="42"/>
      <c r="D4" s="549" t="s">
        <v>568</v>
      </c>
      <c r="E4" s="551" t="s">
        <v>570</v>
      </c>
      <c r="F4" s="44"/>
    </row>
    <row r="5" spans="2:6" x14ac:dyDescent="0.3">
      <c r="B5" s="49"/>
      <c r="C5" s="42"/>
      <c r="D5" s="549"/>
      <c r="E5" s="550"/>
      <c r="F5" s="44"/>
    </row>
    <row r="6" spans="2:6" ht="27" x14ac:dyDescent="0.45">
      <c r="B6" s="552" t="s">
        <v>273</v>
      </c>
      <c r="C6" s="553"/>
      <c r="D6" s="553"/>
      <c r="E6" s="553"/>
      <c r="F6" s="554"/>
    </row>
    <row r="7" spans="2:6" x14ac:dyDescent="0.3">
      <c r="B7" s="49"/>
      <c r="C7" s="42"/>
      <c r="D7" s="43"/>
      <c r="E7" s="43"/>
      <c r="F7" s="44"/>
    </row>
    <row r="8" spans="2:6" x14ac:dyDescent="0.3">
      <c r="B8" s="49"/>
      <c r="C8" s="42"/>
      <c r="D8" s="555" t="s">
        <v>285</v>
      </c>
      <c r="E8" s="555"/>
      <c r="F8" s="44"/>
    </row>
    <row r="9" spans="2:6" ht="36" customHeight="1" x14ac:dyDescent="0.3">
      <c r="B9" s="49"/>
      <c r="C9" s="42"/>
      <c r="D9" s="556" t="s">
        <v>429</v>
      </c>
      <c r="E9" s="557"/>
      <c r="F9" s="44"/>
    </row>
    <row r="10" spans="2:6" ht="45.75" customHeight="1" x14ac:dyDescent="0.3">
      <c r="B10" s="49"/>
      <c r="C10" s="42"/>
      <c r="D10" s="558" t="s">
        <v>381</v>
      </c>
      <c r="E10" s="559"/>
      <c r="F10" s="44"/>
    </row>
    <row r="11" spans="2:6" ht="27" customHeight="1" x14ac:dyDescent="0.3">
      <c r="B11" s="49"/>
      <c r="C11" s="42"/>
      <c r="D11" s="560" t="s">
        <v>284</v>
      </c>
      <c r="E11" s="561"/>
      <c r="F11" s="44"/>
    </row>
    <row r="12" spans="2:6" x14ac:dyDescent="0.3">
      <c r="B12" s="49"/>
      <c r="C12" s="42"/>
      <c r="D12" s="562"/>
      <c r="E12" s="562"/>
      <c r="F12" s="44"/>
    </row>
    <row r="13" spans="2:6" x14ac:dyDescent="0.3">
      <c r="B13" s="49"/>
      <c r="C13" s="42"/>
      <c r="D13" s="563"/>
      <c r="E13" s="563"/>
      <c r="F13" s="44"/>
    </row>
    <row r="14" spans="2:6" ht="16.5" x14ac:dyDescent="0.3">
      <c r="B14" s="53" t="s">
        <v>274</v>
      </c>
      <c r="C14" s="54"/>
      <c r="D14" s="564" t="s">
        <v>275</v>
      </c>
      <c r="E14" s="564"/>
      <c r="F14" s="44"/>
    </row>
    <row r="15" spans="2:6" ht="30.75" customHeight="1" x14ac:dyDescent="0.3">
      <c r="B15" s="49"/>
      <c r="C15" s="42"/>
      <c r="D15" s="565" t="s">
        <v>379</v>
      </c>
      <c r="E15" s="565"/>
      <c r="F15" s="44"/>
    </row>
    <row r="16" spans="2:6" ht="16.5" x14ac:dyDescent="0.3">
      <c r="B16" s="49"/>
      <c r="C16" s="42"/>
      <c r="D16" s="565" t="s">
        <v>525</v>
      </c>
      <c r="E16" s="565"/>
      <c r="F16" s="44"/>
    </row>
    <row r="17" spans="2:6" ht="16.5" x14ac:dyDescent="0.3">
      <c r="B17" s="49"/>
      <c r="C17" s="42"/>
      <c r="D17" s="566" t="s">
        <v>526</v>
      </c>
      <c r="E17" s="566"/>
      <c r="F17" s="44"/>
    </row>
    <row r="18" spans="2:6" ht="16.5" x14ac:dyDescent="0.3">
      <c r="B18" s="49"/>
      <c r="C18" s="42"/>
      <c r="D18" s="566" t="s">
        <v>527</v>
      </c>
      <c r="E18" s="566"/>
      <c r="F18" s="44"/>
    </row>
    <row r="19" spans="2:6" ht="16.5" x14ac:dyDescent="0.3">
      <c r="B19" s="49"/>
      <c r="C19" s="42"/>
      <c r="D19" s="566" t="s">
        <v>414</v>
      </c>
      <c r="E19" s="566"/>
      <c r="F19" s="44"/>
    </row>
    <row r="20" spans="2:6" ht="61.5" customHeight="1" x14ac:dyDescent="0.3">
      <c r="B20" s="49"/>
      <c r="C20" s="42"/>
      <c r="D20" s="565" t="s">
        <v>415</v>
      </c>
      <c r="E20" s="565"/>
      <c r="F20" s="44"/>
    </row>
    <row r="21" spans="2:6" x14ac:dyDescent="0.3">
      <c r="B21" s="49"/>
      <c r="C21" s="42"/>
      <c r="D21" s="565"/>
      <c r="E21" s="565"/>
      <c r="F21" s="44"/>
    </row>
    <row r="22" spans="2:6" ht="16.149999999999999" customHeight="1" x14ac:dyDescent="0.3">
      <c r="B22" s="53" t="s">
        <v>569</v>
      </c>
      <c r="C22" s="54"/>
      <c r="D22" s="567" t="s">
        <v>277</v>
      </c>
      <c r="E22" s="567"/>
      <c r="F22" s="44"/>
    </row>
    <row r="23" spans="2:6" ht="72.75" customHeight="1" x14ac:dyDescent="0.3">
      <c r="B23" s="49"/>
      <c r="C23" s="42"/>
      <c r="D23" s="565" t="s">
        <v>416</v>
      </c>
      <c r="E23" s="565"/>
      <c r="F23" s="44"/>
    </row>
    <row r="24" spans="2:6" x14ac:dyDescent="0.3">
      <c r="B24" s="49"/>
      <c r="C24" s="42"/>
      <c r="D24" s="565"/>
      <c r="E24" s="565"/>
      <c r="F24" s="44"/>
    </row>
    <row r="25" spans="2:6" ht="16.5" x14ac:dyDescent="0.3">
      <c r="B25" s="53" t="s">
        <v>276</v>
      </c>
      <c r="C25" s="54"/>
      <c r="D25" s="567" t="s">
        <v>279</v>
      </c>
      <c r="E25" s="567"/>
      <c r="F25" s="44"/>
    </row>
    <row r="26" spans="2:6" ht="30" customHeight="1" x14ac:dyDescent="0.3">
      <c r="B26" s="49"/>
      <c r="C26" s="42"/>
      <c r="D26" s="565" t="s">
        <v>417</v>
      </c>
      <c r="E26" s="565"/>
      <c r="F26" s="44"/>
    </row>
    <row r="27" spans="2:6" x14ac:dyDescent="0.3">
      <c r="B27" s="49"/>
      <c r="C27" s="42"/>
      <c r="D27" s="565"/>
      <c r="E27" s="565"/>
      <c r="F27" s="44"/>
    </row>
    <row r="28" spans="2:6" ht="16.5" x14ac:dyDescent="0.3">
      <c r="B28" s="53" t="s">
        <v>278</v>
      </c>
      <c r="C28" s="54"/>
      <c r="D28" s="564" t="s">
        <v>280</v>
      </c>
      <c r="E28" s="564"/>
      <c r="F28" s="44"/>
    </row>
    <row r="29" spans="2:6" ht="27.75" customHeight="1" x14ac:dyDescent="0.3">
      <c r="B29" s="49"/>
      <c r="C29" s="42"/>
      <c r="D29" s="565" t="s">
        <v>418</v>
      </c>
      <c r="E29" s="565"/>
      <c r="F29" s="44"/>
    </row>
    <row r="30" spans="2:6" ht="78.75" customHeight="1" x14ac:dyDescent="0.3">
      <c r="B30" s="49"/>
      <c r="C30" s="42"/>
      <c r="D30" s="565" t="s">
        <v>281</v>
      </c>
      <c r="E30" s="565"/>
      <c r="F30" s="44"/>
    </row>
    <row r="31" spans="2:6" ht="106.5" customHeight="1" x14ac:dyDescent="0.3">
      <c r="B31" s="49"/>
      <c r="C31" s="42"/>
      <c r="D31" s="565" t="s">
        <v>282</v>
      </c>
      <c r="E31" s="565"/>
      <c r="F31" s="44"/>
    </row>
    <row r="32" spans="2:6" x14ac:dyDescent="0.3">
      <c r="B32" s="49"/>
      <c r="C32" s="42"/>
      <c r="D32" s="565"/>
      <c r="E32" s="565"/>
      <c r="F32" s="44"/>
    </row>
    <row r="33" spans="2:6" x14ac:dyDescent="0.3">
      <c r="B33" s="49"/>
      <c r="C33" s="42"/>
      <c r="D33" s="47"/>
      <c r="E33" s="47"/>
      <c r="F33" s="44"/>
    </row>
    <row r="34" spans="2:6" ht="16.5" thickBot="1" x14ac:dyDescent="0.35">
      <c r="B34" s="52"/>
      <c r="C34" s="45"/>
      <c r="D34" s="48"/>
      <c r="E34" s="48"/>
      <c r="F34" s="46"/>
    </row>
  </sheetData>
  <customSheetViews>
    <customSheetView guid="{B4B2789E-A92B-47A1-806A-E79E8613D3F5}">
      <selection activeCell="E3" sqref="E3"/>
      <pageMargins left="0.7" right="0.7" top="0.75" bottom="0.75" header="0.3" footer="0.3"/>
      <pageSetup orientation="portrait"/>
    </customSheetView>
    <customSheetView guid="{243EEA98-E2F9-4DAE-A7D1-6A008E515787}">
      <selection activeCell="E3" sqref="E3"/>
      <pageMargins left="0.7" right="0.7" top="0.75" bottom="0.75" header="0.3" footer="0.3"/>
      <pageSetup orientation="portrait"/>
    </customSheetView>
  </customSheetViews>
  <mergeCells count="26">
    <mergeCell ref="D32:E32"/>
    <mergeCell ref="D27:E27"/>
    <mergeCell ref="D28:E28"/>
    <mergeCell ref="D29:E29"/>
    <mergeCell ref="D30:E30"/>
    <mergeCell ref="D31:E31"/>
    <mergeCell ref="D22:E22"/>
    <mergeCell ref="D23:E23"/>
    <mergeCell ref="D24:E24"/>
    <mergeCell ref="D25:E25"/>
    <mergeCell ref="D26:E26"/>
    <mergeCell ref="D21:E21"/>
    <mergeCell ref="D17:E17"/>
    <mergeCell ref="D18:E18"/>
    <mergeCell ref="D19:E19"/>
    <mergeCell ref="D20:E20"/>
    <mergeCell ref="D12:E12"/>
    <mergeCell ref="D13:E13"/>
    <mergeCell ref="D14:E14"/>
    <mergeCell ref="D15:E15"/>
    <mergeCell ref="D16:E16"/>
    <mergeCell ref="B6:F6"/>
    <mergeCell ref="D8:E8"/>
    <mergeCell ref="D9:E9"/>
    <mergeCell ref="D10:E10"/>
    <mergeCell ref="D11:E11"/>
  </mergeCells>
  <hyperlinks>
    <hyperlink ref="D14" location="'Enrollment &amp; Staffing'!A1" display="Begin with the 'Enrollment &amp; Staffing' worksheet."/>
    <hyperlink ref="D28" location="Expenditure!A1" display="Move on to the &quot;Expenditure&quot; worksheet."/>
  </hyperlink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X74"/>
  <sheetViews>
    <sheetView zoomScale="90" zoomScaleNormal="90" workbookViewId="0">
      <selection activeCell="AF57" sqref="AF57"/>
    </sheetView>
  </sheetViews>
  <sheetFormatPr defaultColWidth="8.7109375" defaultRowHeight="15" x14ac:dyDescent="0.25"/>
  <cols>
    <col min="2" max="2" width="25.42578125" bestFit="1" customWidth="1"/>
    <col min="3" max="3" width="4.7109375" hidden="1" customWidth="1"/>
    <col min="4" max="4" width="12.28515625" customWidth="1"/>
    <col min="5" max="7" width="14.28515625" bestFit="1" customWidth="1"/>
    <col min="8" max="8" width="13.42578125" customWidth="1"/>
    <col min="9" max="10" width="14.28515625" bestFit="1" customWidth="1"/>
    <col min="11" max="11" width="16.42578125" hidden="1" customWidth="1"/>
    <col min="12" max="12" width="17.28515625" hidden="1" customWidth="1"/>
    <col min="13" max="13" width="9.28515625" hidden="1" customWidth="1"/>
    <col min="14" max="19" width="5.42578125" hidden="1" customWidth="1"/>
    <col min="20" max="20" width="11" hidden="1" customWidth="1"/>
    <col min="21" max="21" width="24.28515625" hidden="1" customWidth="1"/>
    <col min="22" max="22" width="12.42578125" hidden="1" customWidth="1"/>
    <col min="23" max="23" width="7.7109375" hidden="1" customWidth="1"/>
    <col min="24" max="24" width="7" hidden="1" customWidth="1"/>
    <col min="25" max="26" width="12" hidden="1" customWidth="1"/>
    <col min="27" max="27" width="14" hidden="1" customWidth="1"/>
    <col min="28" max="28" width="12.7109375" customWidth="1"/>
    <col min="29" max="29" width="9.28515625" hidden="1" customWidth="1"/>
    <col min="30" max="30" width="12" customWidth="1"/>
    <col min="31" max="31" width="9.42578125" hidden="1" customWidth="1"/>
    <col min="32" max="32" width="12" customWidth="1"/>
    <col min="33" max="33" width="9.42578125" hidden="1" customWidth="1"/>
    <col min="34" max="34" width="12" customWidth="1"/>
    <col min="35" max="35" width="9.42578125" hidden="1" customWidth="1"/>
    <col min="36" max="36" width="12" customWidth="1"/>
    <col min="37" max="37" width="12" hidden="1" customWidth="1"/>
    <col min="38" max="38" width="12" customWidth="1"/>
    <col min="39" max="39" width="12" hidden="1" customWidth="1"/>
    <col min="40" max="40" width="12" customWidth="1"/>
    <col min="41" max="41" width="9.28515625" hidden="1" customWidth="1"/>
    <col min="42" max="42" width="12" customWidth="1"/>
    <col min="43" max="43" width="9.28515625" hidden="1" customWidth="1"/>
    <col min="44" max="44" width="12" customWidth="1"/>
    <col min="45" max="45" width="7" hidden="1" customWidth="1"/>
    <col min="46" max="46" width="12" customWidth="1"/>
    <col min="47" max="47" width="7" hidden="1" customWidth="1"/>
    <col min="48" max="48" width="12" customWidth="1"/>
    <col min="49" max="49" width="7" hidden="1" customWidth="1"/>
    <col min="50" max="50" width="12" customWidth="1"/>
    <col min="51" max="51" width="7" hidden="1" customWidth="1"/>
    <col min="52" max="52" width="12" customWidth="1"/>
    <col min="53" max="53" width="7" hidden="1" customWidth="1"/>
    <col min="54" max="54" width="12" customWidth="1"/>
    <col min="55" max="55" width="7" hidden="1" customWidth="1"/>
    <col min="56" max="56" width="12" customWidth="1"/>
    <col min="57" max="57" width="7" hidden="1" customWidth="1"/>
    <col min="58" max="58" width="12" customWidth="1"/>
    <col min="59" max="59" width="7" hidden="1" customWidth="1"/>
    <col min="60" max="60" width="12" customWidth="1"/>
    <col min="61" max="61" width="7" hidden="1" customWidth="1"/>
    <col min="62" max="62" width="12" customWidth="1"/>
    <col min="63" max="63" width="7" hidden="1" customWidth="1"/>
    <col min="64" max="64" width="12" customWidth="1"/>
    <col min="65" max="65" width="7" hidden="1" customWidth="1"/>
    <col min="66" max="66" width="12" customWidth="1"/>
    <col min="67" max="67" width="7" hidden="1" customWidth="1"/>
    <col min="68" max="68" width="12" customWidth="1"/>
    <col min="69" max="69" width="7" hidden="1" customWidth="1"/>
    <col min="70" max="70" width="12" customWidth="1"/>
    <col min="71" max="71" width="7" hidden="1" customWidth="1"/>
    <col min="72" max="72" width="12" customWidth="1"/>
    <col min="73" max="73" width="7" hidden="1" customWidth="1"/>
    <col min="74" max="74" width="12" customWidth="1"/>
    <col min="75" max="75" width="7" hidden="1" customWidth="1"/>
    <col min="76" max="76" width="12" customWidth="1"/>
  </cols>
  <sheetData>
    <row r="1" spans="2:76" ht="39" thickBot="1" x14ac:dyDescent="0.35">
      <c r="B1" s="101" t="s">
        <v>82</v>
      </c>
      <c r="C1" s="101"/>
      <c r="D1" s="303" t="str">
        <f>Instructions!$E$3</f>
        <v>Average of 6 Districts</v>
      </c>
      <c r="E1" s="304"/>
      <c r="F1" s="304"/>
      <c r="G1" s="304"/>
      <c r="H1" s="304"/>
      <c r="I1" s="483" t="s">
        <v>545</v>
      </c>
      <c r="J1" s="484" t="s">
        <v>546</v>
      </c>
    </row>
    <row r="2" spans="2:76" ht="15.75" x14ac:dyDescent="0.3">
      <c r="B2" s="305"/>
      <c r="C2" s="120"/>
      <c r="D2" s="570" t="s">
        <v>433</v>
      </c>
      <c r="E2" s="570"/>
      <c r="F2" s="570"/>
      <c r="G2" s="570"/>
      <c r="H2" s="570"/>
      <c r="I2" s="570"/>
      <c r="J2" s="301"/>
      <c r="K2" s="571" t="s">
        <v>448</v>
      </c>
      <c r="L2" s="571"/>
      <c r="M2" s="301"/>
      <c r="N2" s="481"/>
      <c r="O2" s="481"/>
      <c r="P2" s="481"/>
      <c r="Q2" s="481"/>
      <c r="R2" s="481"/>
      <c r="S2" s="481"/>
      <c r="T2" s="302"/>
      <c r="U2" s="301" t="s">
        <v>447</v>
      </c>
      <c r="V2" s="482"/>
      <c r="W2" s="482"/>
      <c r="X2" s="482"/>
      <c r="Y2" s="482"/>
      <c r="Z2" s="482"/>
      <c r="AA2" s="482"/>
      <c r="AB2" s="568" t="s">
        <v>474</v>
      </c>
      <c r="AC2" s="569"/>
      <c r="AD2" s="569"/>
      <c r="AE2" s="569"/>
      <c r="AF2" s="569"/>
      <c r="AG2" s="569"/>
      <c r="AH2" s="569"/>
      <c r="AI2" s="569"/>
      <c r="AJ2" s="569"/>
      <c r="AK2" s="306"/>
      <c r="AL2" s="568" t="s">
        <v>469</v>
      </c>
      <c r="AM2" s="569"/>
      <c r="AN2" s="569"/>
      <c r="AO2" s="569"/>
      <c r="AP2" s="569"/>
      <c r="AQ2" s="569"/>
      <c r="AR2" s="569"/>
      <c r="AS2" s="569"/>
      <c r="AT2" s="569"/>
      <c r="AU2" s="306"/>
      <c r="AV2" s="568" t="s">
        <v>471</v>
      </c>
      <c r="AW2" s="569"/>
      <c r="AX2" s="569"/>
      <c r="AY2" s="569"/>
      <c r="AZ2" s="569"/>
      <c r="BA2" s="569"/>
      <c r="BB2" s="569"/>
      <c r="BC2" s="569"/>
      <c r="BD2" s="569"/>
      <c r="BE2" s="306"/>
      <c r="BF2" s="568" t="s">
        <v>472</v>
      </c>
      <c r="BG2" s="569"/>
      <c r="BH2" s="569"/>
      <c r="BI2" s="569"/>
      <c r="BJ2" s="569"/>
      <c r="BK2" s="569"/>
      <c r="BL2" s="569"/>
      <c r="BM2" s="569"/>
      <c r="BN2" s="569"/>
      <c r="BO2" s="306"/>
      <c r="BP2" s="568" t="s">
        <v>473</v>
      </c>
      <c r="BQ2" s="569"/>
      <c r="BR2" s="569"/>
      <c r="BS2" s="569"/>
      <c r="BT2" s="569"/>
      <c r="BU2" s="569"/>
      <c r="BV2" s="569"/>
      <c r="BW2" s="569"/>
      <c r="BX2" s="569"/>
    </row>
    <row r="3" spans="2:76" ht="27" x14ac:dyDescent="0.25">
      <c r="D3" s="300" t="s">
        <v>434</v>
      </c>
      <c r="E3" s="300" t="s">
        <v>435</v>
      </c>
      <c r="F3" s="300" t="s">
        <v>436</v>
      </c>
      <c r="G3" s="300" t="s">
        <v>437</v>
      </c>
      <c r="H3" s="300" t="s">
        <v>438</v>
      </c>
      <c r="I3" s="300" t="s">
        <v>439</v>
      </c>
      <c r="J3" s="300" t="s">
        <v>440</v>
      </c>
      <c r="K3" s="300" t="s">
        <v>462</v>
      </c>
      <c r="L3" s="300" t="s">
        <v>461</v>
      </c>
      <c r="M3" s="300" t="s">
        <v>441</v>
      </c>
      <c r="N3" s="300"/>
      <c r="O3" s="300"/>
      <c r="P3" s="300"/>
      <c r="Q3" s="300"/>
      <c r="R3" s="300"/>
      <c r="S3" s="300"/>
      <c r="T3" s="300" t="s">
        <v>440</v>
      </c>
      <c r="U3" s="300"/>
      <c r="V3" s="300" t="s">
        <v>446</v>
      </c>
      <c r="W3" s="300" t="s">
        <v>443</v>
      </c>
      <c r="X3" s="300" t="s">
        <v>443</v>
      </c>
      <c r="Y3" s="300" t="s">
        <v>444</v>
      </c>
      <c r="Z3" s="300" t="s">
        <v>444</v>
      </c>
      <c r="AA3" s="300"/>
      <c r="AB3" s="300" t="s">
        <v>396</v>
      </c>
      <c r="AC3" s="300"/>
      <c r="AD3" s="300" t="s">
        <v>465</v>
      </c>
      <c r="AE3" s="300"/>
      <c r="AF3" s="300" t="s">
        <v>466</v>
      </c>
      <c r="AG3" s="300"/>
      <c r="AH3" s="300" t="s">
        <v>467</v>
      </c>
      <c r="AI3" s="515"/>
      <c r="AJ3" s="300" t="s">
        <v>397</v>
      </c>
      <c r="AK3" s="300"/>
      <c r="AL3" s="300" t="s">
        <v>396</v>
      </c>
      <c r="AM3" s="300"/>
      <c r="AN3" s="300" t="s">
        <v>465</v>
      </c>
      <c r="AO3" s="300"/>
      <c r="AP3" s="300" t="s">
        <v>466</v>
      </c>
      <c r="AQ3" s="300"/>
      <c r="AR3" s="300" t="s">
        <v>467</v>
      </c>
      <c r="AS3" s="300"/>
      <c r="AT3" s="300" t="s">
        <v>397</v>
      </c>
      <c r="AU3" s="300"/>
      <c r="AV3" s="300" t="s">
        <v>396</v>
      </c>
      <c r="AW3" s="300"/>
      <c r="AX3" s="300" t="s">
        <v>465</v>
      </c>
      <c r="AY3" s="300"/>
      <c r="AZ3" s="300" t="s">
        <v>466</v>
      </c>
      <c r="BA3" s="300"/>
      <c r="BB3" s="300" t="s">
        <v>467</v>
      </c>
      <c r="BC3" s="300"/>
      <c r="BD3" s="300" t="s">
        <v>397</v>
      </c>
      <c r="BE3" s="300"/>
      <c r="BF3" s="300" t="s">
        <v>396</v>
      </c>
      <c r="BG3" s="300"/>
      <c r="BH3" s="300" t="s">
        <v>465</v>
      </c>
      <c r="BI3" s="300"/>
      <c r="BJ3" s="300" t="s">
        <v>466</v>
      </c>
      <c r="BK3" s="300"/>
      <c r="BL3" s="300" t="s">
        <v>467</v>
      </c>
      <c r="BM3" s="300"/>
      <c r="BN3" s="300" t="s">
        <v>397</v>
      </c>
      <c r="BO3" s="300"/>
      <c r="BP3" s="300" t="s">
        <v>396</v>
      </c>
      <c r="BQ3" s="300"/>
      <c r="BR3" s="300" t="s">
        <v>465</v>
      </c>
      <c r="BS3" s="300"/>
      <c r="BT3" s="300" t="s">
        <v>466</v>
      </c>
      <c r="BU3" s="300"/>
      <c r="BV3" s="300" t="s">
        <v>467</v>
      </c>
      <c r="BW3" s="300"/>
      <c r="BX3" s="300" t="s">
        <v>397</v>
      </c>
    </row>
    <row r="4" spans="2:76" ht="15" hidden="1" customHeight="1" x14ac:dyDescent="0.25">
      <c r="D4">
        <v>-6</v>
      </c>
      <c r="E4">
        <v>-5</v>
      </c>
      <c r="F4">
        <v>-4</v>
      </c>
      <c r="G4">
        <v>-3</v>
      </c>
      <c r="H4">
        <v>-2</v>
      </c>
      <c r="I4">
        <v>-1</v>
      </c>
      <c r="J4">
        <v>0</v>
      </c>
      <c r="N4">
        <v>-6</v>
      </c>
      <c r="O4">
        <v>-5</v>
      </c>
      <c r="P4">
        <v>-4</v>
      </c>
      <c r="Q4">
        <v>-3</v>
      </c>
      <c r="R4">
        <v>-2</v>
      </c>
      <c r="S4">
        <v>-1</v>
      </c>
      <c r="T4">
        <v>0</v>
      </c>
      <c r="W4" t="s">
        <v>445</v>
      </c>
      <c r="X4" t="s">
        <v>464</v>
      </c>
      <c r="Y4" t="s">
        <v>463</v>
      </c>
      <c r="Z4" t="s">
        <v>464</v>
      </c>
      <c r="AB4" s="149">
        <v>1</v>
      </c>
      <c r="AC4" s="149"/>
      <c r="AD4" s="149">
        <v>2</v>
      </c>
      <c r="AE4" s="149"/>
      <c r="AF4" s="149">
        <v>3</v>
      </c>
      <c r="AG4" s="149"/>
      <c r="AH4" s="149">
        <v>4</v>
      </c>
      <c r="AI4" s="516"/>
      <c r="AJ4" s="149">
        <v>5</v>
      </c>
      <c r="AK4" s="149"/>
      <c r="AL4" s="149">
        <v>1</v>
      </c>
      <c r="AM4" s="149"/>
      <c r="AN4" s="149">
        <v>2</v>
      </c>
      <c r="AO4" s="149"/>
      <c r="AP4" s="149">
        <v>3</v>
      </c>
      <c r="AQ4" s="149"/>
      <c r="AR4" s="149">
        <v>4</v>
      </c>
      <c r="AS4" s="149"/>
      <c r="AT4" s="149">
        <v>5</v>
      </c>
      <c r="AU4" s="149"/>
      <c r="AV4" s="149">
        <v>1</v>
      </c>
      <c r="AW4" s="149"/>
      <c r="AX4" s="149">
        <v>2</v>
      </c>
      <c r="AY4" s="149"/>
      <c r="AZ4" s="149">
        <v>3</v>
      </c>
      <c r="BA4" s="149"/>
      <c r="BB4" s="149">
        <v>4</v>
      </c>
      <c r="BC4" s="149"/>
      <c r="BD4" s="149">
        <v>5</v>
      </c>
      <c r="BE4" s="149"/>
      <c r="BF4" s="149">
        <v>1</v>
      </c>
      <c r="BG4" s="149"/>
      <c r="BH4" s="149">
        <v>2</v>
      </c>
      <c r="BI4" s="149"/>
      <c r="BJ4" s="149">
        <v>3</v>
      </c>
      <c r="BK4" s="149"/>
      <c r="BL4" s="149">
        <v>4</v>
      </c>
      <c r="BM4" s="149"/>
      <c r="BN4" s="149">
        <v>5</v>
      </c>
      <c r="BO4" s="149"/>
      <c r="BP4" s="149">
        <v>1</v>
      </c>
      <c r="BQ4" s="149"/>
      <c r="BR4" s="149">
        <v>2</v>
      </c>
      <c r="BS4" s="149"/>
      <c r="BT4" s="149">
        <v>3</v>
      </c>
      <c r="BU4" s="149"/>
      <c r="BV4" s="149">
        <v>4</v>
      </c>
      <c r="BW4" s="149"/>
      <c r="BX4" s="149">
        <v>5</v>
      </c>
    </row>
    <row r="5" spans="2:76" ht="15.75" x14ac:dyDescent="0.3">
      <c r="B5" s="70" t="s">
        <v>411</v>
      </c>
      <c r="C5" s="70"/>
      <c r="D5" s="335">
        <f t="shared" ref="D5:J5" si="0">D7+D26</f>
        <v>37332.166666666672</v>
      </c>
      <c r="E5" s="335">
        <f t="shared" si="0"/>
        <v>38800.833333333328</v>
      </c>
      <c r="F5" s="335">
        <f t="shared" si="0"/>
        <v>38371.5</v>
      </c>
      <c r="G5" s="335">
        <f t="shared" si="0"/>
        <v>37156.333333333328</v>
      </c>
      <c r="H5" s="335">
        <f t="shared" si="0"/>
        <v>38938.833333333328</v>
      </c>
      <c r="I5" s="335">
        <f t="shared" si="0"/>
        <v>38490.166666666672</v>
      </c>
      <c r="J5" s="335">
        <f t="shared" si="0"/>
        <v>38876.166666666672</v>
      </c>
      <c r="K5" s="336"/>
      <c r="L5" s="336"/>
      <c r="M5" s="336"/>
      <c r="N5" s="337"/>
      <c r="O5" s="337"/>
      <c r="P5" s="337"/>
      <c r="Q5" s="337"/>
      <c r="R5" s="336"/>
      <c r="S5" s="336"/>
      <c r="T5" s="336"/>
      <c r="U5" s="336"/>
      <c r="V5" s="338" t="str">
        <f>IF(J1="Constant","Constant",IF(X5&gt;Z5,"Linear","Logarithmic"))</f>
        <v>Constant</v>
      </c>
      <c r="W5" s="338">
        <f>LINEST($D5:$J5,$D$4:$J$4)</f>
        <v>163.50000000000048</v>
      </c>
      <c r="X5" s="338">
        <f>INDEX(LINEST($D5:$J5,$D$4:$J$4,TRUE,TRUE),3)</f>
        <v>0.22859971943800059</v>
      </c>
      <c r="Y5" s="338">
        <f>LOGEST($D5:$J5,$D$4:$J$4)</f>
        <v>1.0043012717045754</v>
      </c>
      <c r="Z5" s="338">
        <f>INDEX(LOGEST($D5:$J5,$D$4:$J$4,TRUE,TRUE),3)</f>
        <v>0.22778441289688137</v>
      </c>
      <c r="AA5" s="335">
        <f>AB5</f>
        <v>38876</v>
      </c>
      <c r="AB5" s="335">
        <f>ROUND(IF($V5="Constant",$J5,IF($V5="Linear",TREND($D5:$J5,$D4:$J4,AB4),GROWTH($D5:$J5,$D4:$J4,AB4))),0)</f>
        <v>38876</v>
      </c>
      <c r="AC5" s="335">
        <f>AD5</f>
        <v>38876</v>
      </c>
      <c r="AD5" s="335">
        <f>ROUND(IF($V5="Constant",$J5,IF($V5="Linear",TREND($D5:$J5,$D4:$J4,AD4),GROWTH($D5:$J5,$D4:$J4,AD4))),0)</f>
        <v>38876</v>
      </c>
      <c r="AE5" s="335">
        <f>AF5</f>
        <v>38876</v>
      </c>
      <c r="AF5" s="335">
        <f>ROUND(IF($V5="Constant",$J5,IF($V5="Linear",TREND($D5:$J5,$D4:$J4,AF4),GROWTH($D5:$J5,$D4:$J4,AF4))),0)</f>
        <v>38876</v>
      </c>
      <c r="AG5" s="335">
        <f>AH5</f>
        <v>38876</v>
      </c>
      <c r="AH5" s="335">
        <f>ROUND(IF($V5="Constant",$J5,IF($V5="Linear",TREND($D5:$J5,$D4:$J4,AH4),GROWTH($D5:$J5,$D4:$J4,AH4))),0)</f>
        <v>38876</v>
      </c>
      <c r="AI5" s="335">
        <f>AJ5</f>
        <v>38876</v>
      </c>
      <c r="AJ5" s="335">
        <f>ROUND(IF($V5="Constant",$J5,IF($V5="Linear",TREND($D5:$J5,$D4:$J4,AJ4),GROWTH($D5:$J5,$D4:$J4,AJ4))),0)</f>
        <v>38876</v>
      </c>
      <c r="AK5" s="335">
        <f>AL5</f>
        <v>38876</v>
      </c>
      <c r="AL5" s="335">
        <f>ROUND(IF($V5="Constant",$J5,IF($V5="Linear",TREND($D5:$J5,$D4:$J4,AL4),GROWTH($D5:$J5,$D4:$J4,AL4))),0)</f>
        <v>38876</v>
      </c>
      <c r="AM5" s="335">
        <f>AN5</f>
        <v>38876</v>
      </c>
      <c r="AN5" s="335">
        <f>ROUND(IF($V5="Constant",$J5,IF($V5="Linear",TREND($D5:$J5,$D4:$J4,AN4),GROWTH($D5:$J5,$D4:$J4,AN4))),0)</f>
        <v>38876</v>
      </c>
      <c r="AO5" s="335">
        <f>AP5</f>
        <v>38876</v>
      </c>
      <c r="AP5" s="335">
        <f>ROUND(IF($V5="Constant",$J5,IF($V5="Linear",TREND($D5:$J5,$D4:$J4,AP4),GROWTH($D5:$J5,$D4:$J4,AP4))),0)</f>
        <v>38876</v>
      </c>
      <c r="AQ5" s="335">
        <f>AR5</f>
        <v>38876</v>
      </c>
      <c r="AR5" s="335">
        <f>ROUND(IF($V5="Constant",$J5,IF($V5="Linear",TREND($D5:$J5,$D4:$J4,AR4),GROWTH($D5:$J5,$D4:$J4,AR4))),0)</f>
        <v>38876</v>
      </c>
      <c r="AS5" s="335">
        <f>AT5</f>
        <v>38876</v>
      </c>
      <c r="AT5" s="335">
        <f>ROUND(IF($V5="Constant",$J5,IF($V5="Linear",TREND($D5:$J5,$D4:$J4,AT4),GROWTH($D5:$J5,$D4:$J4,AT4))),0)</f>
        <v>38876</v>
      </c>
      <c r="AU5" s="335">
        <f>AV5</f>
        <v>38876</v>
      </c>
      <c r="AV5" s="335">
        <f>ROUND(IF($V5="Constant",$J5,IF($V5="Linear",TREND($D5:$J5,$D4:$J4,AV4),GROWTH($D5:$J5,$D4:$J4,AV4))),0)</f>
        <v>38876</v>
      </c>
      <c r="AW5" s="335">
        <f>AX5</f>
        <v>38876</v>
      </c>
      <c r="AX5" s="335">
        <f>ROUND(IF($V5="Constant",$J5,IF($V5="Linear",TREND($D5:$J5,$D4:$J4,AX4),GROWTH($D5:$J5,$D4:$J4,AX4))),0)</f>
        <v>38876</v>
      </c>
      <c r="AY5" s="335">
        <f>AZ5</f>
        <v>38876</v>
      </c>
      <c r="AZ5" s="335">
        <f>ROUND(IF($V5="Constant",$J5,IF($V5="Linear",TREND($D5:$J5,$D4:$J4,AZ4),GROWTH($D5:$J5,$D4:$J4,AZ4))),0)</f>
        <v>38876</v>
      </c>
      <c r="BA5" s="335">
        <f>BB5</f>
        <v>38876</v>
      </c>
      <c r="BB5" s="335">
        <f>ROUND(IF($V5="Constant",$J5,IF($V5="Linear",TREND($D5:$J5,$D4:$J4,BB4),GROWTH($D5:$J5,$D4:$J4,BB4))),0)</f>
        <v>38876</v>
      </c>
      <c r="BC5" s="335">
        <f>BD5</f>
        <v>38876</v>
      </c>
      <c r="BD5" s="335">
        <f>ROUND(IF($V5="Constant",$J5,IF($V5="Linear",TREND($D5:$J5,$D4:$J4,BD4),GROWTH($D5:$J5,$D4:$J4,BD4))),0)</f>
        <v>38876</v>
      </c>
      <c r="BE5" s="335">
        <f>BF5</f>
        <v>38876</v>
      </c>
      <c r="BF5" s="335">
        <f>ROUND(IF($V5="Constant",$J5,IF($V5="Linear",TREND($D5:$J5,$D4:$J4,BF4),GROWTH($D5:$J5,$D4:$J4,BF4))),0)</f>
        <v>38876</v>
      </c>
      <c r="BG5" s="335">
        <f>BH5</f>
        <v>38876</v>
      </c>
      <c r="BH5" s="335">
        <f>ROUND(IF($V5="Constant",$J5,IF($V5="Linear",TREND($D5:$J5,$D4:$J4,BH4),GROWTH($D5:$J5,$D4:$J4,BH4))),0)</f>
        <v>38876</v>
      </c>
      <c r="BI5" s="335">
        <f>BJ5</f>
        <v>38876</v>
      </c>
      <c r="BJ5" s="335">
        <f>ROUND(IF($V5="Constant",$J5,IF($V5="Linear",TREND($D5:$J5,$D4:$J4,BJ4),GROWTH($D5:$J5,$D4:$J4,BJ4))),0)</f>
        <v>38876</v>
      </c>
      <c r="BK5" s="335">
        <f>BL5</f>
        <v>38876</v>
      </c>
      <c r="BL5" s="335">
        <f>ROUND(IF($V5="Constant",$J5,IF($V5="Linear",TREND($D5:$J5,$D4:$J4,BL4),GROWTH($D5:$J5,$D4:$J4,BL4))),0)</f>
        <v>38876</v>
      </c>
      <c r="BM5" s="335">
        <f>BN5</f>
        <v>38876</v>
      </c>
      <c r="BN5" s="335">
        <f>ROUND(IF($V5="Constant",$J5,IF($V5="Linear",TREND($D5:$J5,$D4:$J4,BN4),GROWTH($D5:$J5,$D4:$J4,BN4))),0)</f>
        <v>38876</v>
      </c>
      <c r="BO5" s="335">
        <f>BP5</f>
        <v>38876</v>
      </c>
      <c r="BP5" s="335">
        <f>ROUND(IF($V5="Constant",$J5,IF($V5="Linear",TREND($D5:$J5,$D4:$J4,BP4),GROWTH($D5:$J5,$D4:$J4,BP4))),0)</f>
        <v>38876</v>
      </c>
      <c r="BQ5" s="335">
        <f>BR5</f>
        <v>38876</v>
      </c>
      <c r="BR5" s="335">
        <f>ROUND(IF($V5="Constant",$J5,IF($V5="Linear",TREND($D5:$J5,$D4:$J4,BR4),GROWTH($D5:$J5,$D4:$J4,BR4))),0)</f>
        <v>38876</v>
      </c>
      <c r="BS5" s="335">
        <f>BT5</f>
        <v>38876</v>
      </c>
      <c r="BT5" s="335">
        <f>ROUND(IF($V5="Constant",$J5,IF($V5="Linear",TREND($D5:$J5,$D4:$J4,BT4),GROWTH($D5:$J5,$D4:$J4,BT4))),0)</f>
        <v>38876</v>
      </c>
      <c r="BU5" s="335">
        <f>BV5</f>
        <v>38876</v>
      </c>
      <c r="BV5" s="335">
        <f>ROUND(IF($V5="Constant",$J5,IF($V5="Linear",TREND($D5:$J5,$D4:$J4,BV4),GROWTH($D5:$J5,$D4:$J4,BV4))),0)</f>
        <v>38876</v>
      </c>
      <c r="BW5" s="335">
        <f>BX5</f>
        <v>38876</v>
      </c>
      <c r="BX5" s="335">
        <f>ROUND(IF($V5="Constant",$J5,IF($V5="Linear",TREND($D5:$J5,$D4:$J4,BX4),GROWTH($D5:$J5,$D4:$J4,BX4))),0)</f>
        <v>38876</v>
      </c>
    </row>
    <row r="6" spans="2:76" ht="15.75" x14ac:dyDescent="0.3">
      <c r="B6" s="70"/>
      <c r="C6" s="70"/>
      <c r="D6" s="336"/>
      <c r="E6" s="336"/>
      <c r="F6" s="336"/>
      <c r="G6" s="336"/>
      <c r="H6" s="336"/>
      <c r="I6" s="336"/>
      <c r="J6" s="335"/>
      <c r="K6" s="336"/>
      <c r="L6" s="336"/>
      <c r="M6" s="336"/>
      <c r="N6" s="337"/>
      <c r="O6" s="337"/>
      <c r="P6" s="337"/>
      <c r="Q6" s="337"/>
      <c r="R6" s="336"/>
      <c r="S6" s="336"/>
      <c r="T6" s="336"/>
      <c r="U6" s="336"/>
      <c r="V6" s="336"/>
      <c r="W6" s="336"/>
      <c r="X6" s="336"/>
      <c r="Y6" s="336"/>
      <c r="Z6" s="336"/>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row>
    <row r="7" spans="2:76" ht="16.5" thickBot="1" x14ac:dyDescent="0.35">
      <c r="B7" s="70" t="s">
        <v>413</v>
      </c>
      <c r="C7" s="70"/>
      <c r="D7" s="335">
        <f t="shared" ref="D7:F7" si="1">SUM(D9:D21)</f>
        <v>31312.666666666672</v>
      </c>
      <c r="E7" s="335">
        <f t="shared" si="1"/>
        <v>31344.166666666664</v>
      </c>
      <c r="F7" s="335">
        <f t="shared" si="1"/>
        <v>29645.166666666668</v>
      </c>
      <c r="G7" s="335">
        <f t="shared" ref="G7:I7" si="2">SUM(G9:G21)</f>
        <v>28340.166666666664</v>
      </c>
      <c r="H7" s="335">
        <f t="shared" si="2"/>
        <v>27646.333333333332</v>
      </c>
      <c r="I7" s="335">
        <f t="shared" si="2"/>
        <v>26988.5</v>
      </c>
      <c r="J7" s="335">
        <f>SUM(J9:J21)</f>
        <v>27071.666666666672</v>
      </c>
      <c r="K7" s="335"/>
      <c r="L7" s="335"/>
      <c r="M7" s="335"/>
      <c r="N7" s="335"/>
      <c r="O7" s="335"/>
      <c r="P7" s="335"/>
      <c r="Q7" s="335"/>
      <c r="R7" s="335"/>
      <c r="S7" s="335"/>
      <c r="T7" s="335">
        <f>SUM(T9:T21)</f>
        <v>27071.666666666672</v>
      </c>
      <c r="U7" s="335"/>
      <c r="V7" s="335"/>
      <c r="W7" s="335"/>
      <c r="X7" s="335"/>
      <c r="Y7" s="335"/>
      <c r="Z7" s="335" t="s">
        <v>476</v>
      </c>
      <c r="AA7" s="335">
        <f>ROUND(AA5*(1-AA22),0)</f>
        <v>27072</v>
      </c>
      <c r="AB7" s="335">
        <f>AA7</f>
        <v>27072</v>
      </c>
      <c r="AC7" s="335">
        <f>ROUND(AC5*(1-AC22),0)</f>
        <v>27072</v>
      </c>
      <c r="AD7" s="335">
        <f>AC7</f>
        <v>27072</v>
      </c>
      <c r="AE7" s="335">
        <f>ROUND(AE5*(1-AE22),0)</f>
        <v>27072</v>
      </c>
      <c r="AF7" s="335">
        <f>AE7</f>
        <v>27072</v>
      </c>
      <c r="AG7" s="335">
        <f>ROUND(AG5*(1-AG22),0)</f>
        <v>27072</v>
      </c>
      <c r="AH7" s="335">
        <f>AG7</f>
        <v>27072</v>
      </c>
      <c r="AI7" s="335">
        <f>ROUND(AI5*(1-AI22),0)</f>
        <v>27072</v>
      </c>
      <c r="AJ7" s="335">
        <f>AI7</f>
        <v>27072</v>
      </c>
      <c r="AK7" s="335">
        <f>ROUND(AK5*(1-AK22),0)</f>
        <v>26877</v>
      </c>
      <c r="AL7" s="335">
        <f>ROUND(AL5*(1-AL22),0)</f>
        <v>26877</v>
      </c>
      <c r="AM7" s="335">
        <f t="shared" ref="AM7:AT7" si="3">ROUND(AM5*(1-AM22),0)</f>
        <v>26683</v>
      </c>
      <c r="AN7" s="335">
        <f t="shared" si="3"/>
        <v>26683</v>
      </c>
      <c r="AO7" s="335">
        <f t="shared" si="3"/>
        <v>26488</v>
      </c>
      <c r="AP7" s="335">
        <f t="shared" si="3"/>
        <v>26488</v>
      </c>
      <c r="AQ7" s="335">
        <f t="shared" si="3"/>
        <v>26294</v>
      </c>
      <c r="AR7" s="335">
        <f t="shared" si="3"/>
        <v>26294</v>
      </c>
      <c r="AS7" s="335">
        <f t="shared" si="3"/>
        <v>26100</v>
      </c>
      <c r="AT7" s="335">
        <f t="shared" si="3"/>
        <v>26100</v>
      </c>
      <c r="AU7" s="335">
        <f>ROUND(AU5*(1-AU22),0)</f>
        <v>26683</v>
      </c>
      <c r="AV7" s="335">
        <f>ROUND(AV5*(1-AV22),0)</f>
        <v>26683</v>
      </c>
      <c r="AW7" s="335">
        <f t="shared" ref="AW7:BD7" si="4">ROUND(AW5*(1-AW22),0)</f>
        <v>26294</v>
      </c>
      <c r="AX7" s="335">
        <f t="shared" si="4"/>
        <v>26294</v>
      </c>
      <c r="AY7" s="335">
        <f t="shared" si="4"/>
        <v>25905</v>
      </c>
      <c r="AZ7" s="335">
        <f t="shared" si="4"/>
        <v>25905</v>
      </c>
      <c r="BA7" s="335">
        <f t="shared" si="4"/>
        <v>25517</v>
      </c>
      <c r="BB7" s="335">
        <f t="shared" si="4"/>
        <v>25517</v>
      </c>
      <c r="BC7" s="335">
        <f t="shared" si="4"/>
        <v>25128</v>
      </c>
      <c r="BD7" s="335">
        <f t="shared" si="4"/>
        <v>25128</v>
      </c>
      <c r="BE7" s="335">
        <f>ROUND(BE5*(1-BE22),0)</f>
        <v>26294</v>
      </c>
      <c r="BF7" s="335">
        <f>ROUND(BF5*(1-BF22),0)</f>
        <v>26294</v>
      </c>
      <c r="BG7" s="335">
        <f t="shared" ref="BG7:BN7" si="5">ROUND(BG5*(1-BG22),0)</f>
        <v>25517</v>
      </c>
      <c r="BH7" s="335">
        <f t="shared" si="5"/>
        <v>25517</v>
      </c>
      <c r="BI7" s="335">
        <f t="shared" si="5"/>
        <v>24739</v>
      </c>
      <c r="BJ7" s="335">
        <f t="shared" si="5"/>
        <v>24739</v>
      </c>
      <c r="BK7" s="335">
        <f t="shared" si="5"/>
        <v>23961</v>
      </c>
      <c r="BL7" s="335">
        <f t="shared" si="5"/>
        <v>23961</v>
      </c>
      <c r="BM7" s="335">
        <f t="shared" si="5"/>
        <v>23184</v>
      </c>
      <c r="BN7" s="335">
        <f t="shared" si="5"/>
        <v>23184</v>
      </c>
      <c r="BO7" s="335">
        <f>ROUND(BO5*(1-BO22),0)</f>
        <v>25517</v>
      </c>
      <c r="BP7" s="335">
        <f>ROUND(BP5*(1-BP22),0)</f>
        <v>25517</v>
      </c>
      <c r="BQ7" s="335">
        <f t="shared" ref="BQ7:BX7" si="6">ROUND(BQ5*(1-BQ22),0)</f>
        <v>23961</v>
      </c>
      <c r="BR7" s="335">
        <f t="shared" si="6"/>
        <v>23961</v>
      </c>
      <c r="BS7" s="335">
        <f t="shared" si="6"/>
        <v>22406</v>
      </c>
      <c r="BT7" s="335">
        <f t="shared" si="6"/>
        <v>22406</v>
      </c>
      <c r="BU7" s="335">
        <f t="shared" si="6"/>
        <v>20851</v>
      </c>
      <c r="BV7" s="335">
        <f t="shared" si="6"/>
        <v>20851</v>
      </c>
      <c r="BW7" s="335">
        <f t="shared" si="6"/>
        <v>19296</v>
      </c>
      <c r="BX7" s="335">
        <f t="shared" si="6"/>
        <v>19296</v>
      </c>
    </row>
    <row r="8" spans="2:76" ht="16.5" hidden="1" customHeight="1" thickBot="1" x14ac:dyDescent="0.35">
      <c r="B8" s="70"/>
      <c r="C8" s="70"/>
      <c r="D8" s="335"/>
      <c r="E8" s="335"/>
      <c r="F8" s="335"/>
      <c r="G8" s="335"/>
      <c r="H8" s="335"/>
      <c r="I8" s="335"/>
      <c r="J8" s="335"/>
      <c r="K8" s="335"/>
      <c r="L8" s="335"/>
      <c r="M8" s="335"/>
      <c r="N8" s="335"/>
      <c r="O8" s="335"/>
      <c r="P8" s="335"/>
      <c r="Q8" s="335"/>
      <c r="R8" s="335"/>
      <c r="S8" s="335"/>
      <c r="T8" s="335"/>
      <c r="U8" s="335"/>
      <c r="V8" s="335"/>
      <c r="W8" s="335"/>
      <c r="X8" s="335"/>
      <c r="Y8" s="335"/>
      <c r="Z8" s="341" t="s">
        <v>477</v>
      </c>
      <c r="AA8" s="335">
        <f t="shared" ref="AA8:AL8" si="7">SUM(AA9:AA21)</f>
        <v>26645</v>
      </c>
      <c r="AB8" s="339">
        <f t="shared" si="7"/>
        <v>27072</v>
      </c>
      <c r="AC8" s="335">
        <f t="shared" si="7"/>
        <v>26546</v>
      </c>
      <c r="AD8" s="335">
        <f t="shared" si="7"/>
        <v>27072</v>
      </c>
      <c r="AE8" s="335">
        <f t="shared" si="7"/>
        <v>26506</v>
      </c>
      <c r="AF8" s="335">
        <f t="shared" si="7"/>
        <v>27072</v>
      </c>
      <c r="AG8" s="335">
        <f t="shared" si="7"/>
        <v>26433</v>
      </c>
      <c r="AH8" s="335">
        <f t="shared" si="7"/>
        <v>27072</v>
      </c>
      <c r="AI8" s="335">
        <f t="shared" si="7"/>
        <v>26510</v>
      </c>
      <c r="AJ8" s="340">
        <f t="shared" si="7"/>
        <v>27072</v>
      </c>
      <c r="AK8" s="339">
        <f t="shared" si="7"/>
        <v>27072</v>
      </c>
      <c r="AL8" s="339">
        <f t="shared" si="7"/>
        <v>26877</v>
      </c>
      <c r="AM8" s="335">
        <f t="shared" ref="AM8:AR8" si="8">SUM(AM9:AM21)</f>
        <v>27072</v>
      </c>
      <c r="AN8" s="335">
        <f t="shared" si="8"/>
        <v>26683</v>
      </c>
      <c r="AO8" s="335">
        <f t="shared" si="8"/>
        <v>27072</v>
      </c>
      <c r="AP8" s="335">
        <f t="shared" si="8"/>
        <v>26488</v>
      </c>
      <c r="AQ8" s="335">
        <f t="shared" si="8"/>
        <v>27072</v>
      </c>
      <c r="AR8" s="335">
        <f t="shared" si="8"/>
        <v>26294</v>
      </c>
      <c r="AS8" s="335">
        <f>SUM(AS9:AS21)</f>
        <v>27072</v>
      </c>
      <c r="AT8" s="340">
        <f>SUM(AT9:AT21)</f>
        <v>26100</v>
      </c>
      <c r="AU8" s="339">
        <f>SUM(AU9:AU21)</f>
        <v>26877</v>
      </c>
      <c r="AV8" s="339">
        <f>SUM(AV9:AV21)</f>
        <v>26683</v>
      </c>
      <c r="AW8" s="335">
        <f t="shared" ref="AW8:BB8" si="9">SUM(AW9:AW21)</f>
        <v>26683</v>
      </c>
      <c r="AX8" s="335">
        <f t="shared" si="9"/>
        <v>26294</v>
      </c>
      <c r="AY8" s="335">
        <f t="shared" si="9"/>
        <v>26488</v>
      </c>
      <c r="AZ8" s="335">
        <f t="shared" si="9"/>
        <v>25905</v>
      </c>
      <c r="BA8" s="335">
        <f t="shared" si="9"/>
        <v>26294</v>
      </c>
      <c r="BB8" s="335">
        <f t="shared" si="9"/>
        <v>25517</v>
      </c>
      <c r="BC8" s="335">
        <f>SUM(BC9:BC21)</f>
        <v>26100</v>
      </c>
      <c r="BD8" s="340">
        <f>SUM(BD9:BD21)</f>
        <v>25128</v>
      </c>
      <c r="BE8" s="339">
        <f>SUM(BE9:BE21)</f>
        <v>26683</v>
      </c>
      <c r="BF8" s="339">
        <f>SUM(BF9:BF21)</f>
        <v>26294</v>
      </c>
      <c r="BG8" s="335">
        <f t="shared" ref="BG8:BL8" si="10">SUM(BG9:BG21)</f>
        <v>26294</v>
      </c>
      <c r="BH8" s="335">
        <f t="shared" si="10"/>
        <v>25517</v>
      </c>
      <c r="BI8" s="335">
        <f t="shared" si="10"/>
        <v>25905</v>
      </c>
      <c r="BJ8" s="335">
        <f t="shared" si="10"/>
        <v>24739</v>
      </c>
      <c r="BK8" s="335">
        <f t="shared" si="10"/>
        <v>25517</v>
      </c>
      <c r="BL8" s="335">
        <f t="shared" si="10"/>
        <v>23961</v>
      </c>
      <c r="BM8" s="335">
        <f>SUM(BM9:BM21)</f>
        <v>25128</v>
      </c>
      <c r="BN8" s="340">
        <f>SUM(BN9:BN21)</f>
        <v>23184</v>
      </c>
      <c r="BO8" s="339">
        <f>SUM(BO9:BO21)</f>
        <v>26294</v>
      </c>
      <c r="BP8" s="339">
        <f>SUM(BP9:BP21)</f>
        <v>25517</v>
      </c>
      <c r="BQ8" s="335">
        <f t="shared" ref="BQ8:BV8" si="11">SUM(BQ9:BQ21)</f>
        <v>25517</v>
      </c>
      <c r="BR8" s="335">
        <f t="shared" si="11"/>
        <v>23961</v>
      </c>
      <c r="BS8" s="335">
        <f t="shared" si="11"/>
        <v>24739</v>
      </c>
      <c r="BT8" s="335">
        <f t="shared" si="11"/>
        <v>22406</v>
      </c>
      <c r="BU8" s="335">
        <f t="shared" si="11"/>
        <v>23961</v>
      </c>
      <c r="BV8" s="335">
        <f t="shared" si="11"/>
        <v>20851</v>
      </c>
      <c r="BW8" s="335">
        <f>SUM(BW9:BW21)</f>
        <v>23184</v>
      </c>
      <c r="BX8" s="340">
        <f>SUM(BX9:BX21)</f>
        <v>19296</v>
      </c>
    </row>
    <row r="9" spans="2:76" ht="15.75" x14ac:dyDescent="0.3">
      <c r="B9" s="294" t="s">
        <v>442</v>
      </c>
      <c r="C9" s="294">
        <v>0</v>
      </c>
      <c r="D9" s="342">
        <v>2388.5</v>
      </c>
      <c r="E9" s="343">
        <v>2350.8333333333335</v>
      </c>
      <c r="F9" s="343">
        <v>2323.3333333333335</v>
      </c>
      <c r="G9" s="343">
        <v>2354.1666666666665</v>
      </c>
      <c r="H9" s="343">
        <v>2275.1666666666665</v>
      </c>
      <c r="I9" s="343">
        <v>2184.1666666666665</v>
      </c>
      <c r="J9" s="344">
        <v>2149.5</v>
      </c>
      <c r="K9" s="345"/>
      <c r="L9" s="346"/>
      <c r="M9" s="346">
        <v>1</v>
      </c>
      <c r="N9" s="346"/>
      <c r="O9" s="346"/>
      <c r="P9" s="346"/>
      <c r="Q9" s="346"/>
      <c r="R9" s="346"/>
      <c r="S9" s="346"/>
      <c r="T9" s="345">
        <f t="array" ref="T9:T21">J9:J21</f>
        <v>2149.5</v>
      </c>
      <c r="U9" s="345"/>
      <c r="V9" s="338" t="str">
        <f>IF(X9&gt;Z9,"Linear","Logarithmic")</f>
        <v>Linear</v>
      </c>
      <c r="W9" s="338">
        <f>LINEST($D9:$J9,$D$4:$J$4)</f>
        <v>-39.232142857142875</v>
      </c>
      <c r="X9" s="503">
        <f>INDEX(LINEST($D9:$J9,$D$4:$J$4,TRUE,TRUE),3)</f>
        <v>0.86557065884881279</v>
      </c>
      <c r="Y9" s="338">
        <f>LOGEST($D9:$J9,$D$4:$J$4)</f>
        <v>0.98285189114013194</v>
      </c>
      <c r="Z9" s="338">
        <f>INDEX(LOGEST($D9:$J9,$D$4:$J$4,TRUE,TRUE),3)</f>
        <v>0.86208584654149933</v>
      </c>
      <c r="AA9" s="347">
        <f>ROUND(IF($V9="Linear",TREND($D9:$J9,$D4:$J4,AB4),GROWTH($D9:$J9,$D4:$J4,AB4)),0)</f>
        <v>2132</v>
      </c>
      <c r="AB9" s="517">
        <f>IF(OR(((AA$7-AA$8)/13)-QUOTIENT(AA$7-AA$8,13)=0, ROUND(ABS(((AA$7-AA$8)/13))-ABS(QUOTIENT(AA$7-AA$8,13)),3)&lt;=ROUND((ROW(AA9)-ROW(AA$9))/13,3)),
         AA9+QUOTIENT(AA$7-AA$8,13),
         IF(AA$7-AA$8&gt;0,
               AA9+QUOTIENT(AA$7-AA$8,13)+1,
               AA9+QUOTIENT(AA$7-AA$8,13)-1))</f>
        <v>2165</v>
      </c>
      <c r="AC9" s="518">
        <f>ROUND(IF($V9="Linear",TREND($D9:$J9,$D4:$J4,AD4),GROWTH($D9:$J9,$D4:$J4,AD4)),0)</f>
        <v>2093</v>
      </c>
      <c r="AD9" s="518">
        <f>IF(OR(((AC$7-AC$8)/13)-QUOTIENT(AC$7-AC$8,13)=0, ROUND(ABS(((AC$7-AC$8)/13))-ABS(QUOTIENT(AC$7-AC$8,13)),3)&lt;=ROUND((ROW(AC9)-ROW(AC$9))/13,3)),
         AC9+QUOTIENT(AC$7-AC$8,13),
         IF(AC$7-AC$8&gt;0,
               AC9+QUOTIENT(AC$7-AC$8,13)+1,
               AC9+QUOTIENT(AC$7-AC$8,13)-1))</f>
        <v>2134</v>
      </c>
      <c r="AE9" s="518">
        <f>ROUND(IF($V9="Linear",TREND($D9:$J9,$D4:$J4,AF4),GROWTH($D9:$J9,$D4:$J4,AF4)),0)</f>
        <v>2054</v>
      </c>
      <c r="AF9" s="518">
        <f>IF(OR(((AE$7-AE$8)/13)-QUOTIENT(AE$7-AE$8,13)=0, ROUND(ABS(((AE$7-AE$8)/13))-ABS(QUOTIENT(AE$7-AE$8,13)),3)&lt;=ROUND((ROW(AE9)-ROW(AE$9))/13,3)),
         AE9+QUOTIENT(AE$7-AE$8,13),
         IF(AE$7-AE$8&gt;0,
               AE9+QUOTIENT(AE$7-AE$8,13)+1,
               AE9+QUOTIENT(AE$7-AE$8,13)-1))</f>
        <v>2098</v>
      </c>
      <c r="AG9" s="518">
        <f>ROUND(IF($V9="Linear",TREND($D9:$J9,$D4:$J4,AH4),GROWTH($D9:$J9,$D4:$J4,AH4)),0)</f>
        <v>2015</v>
      </c>
      <c r="AH9" s="518">
        <f>IF(OR(((AG$7-AG$8)/13)-QUOTIENT(AG$7-AG$8,13)=0, ROUND(ABS(((AG$7-AG$8)/13))-ABS(QUOTIENT(AG$7-AG$8,13)),3)&lt;=ROUND((ROW(AG9)-ROW(AG$9))/13,3)),
         AG9+QUOTIENT(AG$7-AG$8,13),
         IF(AG$7-AG$8&gt;0,
               AG9+QUOTIENT(AG$7-AG$8,13)+1,
               AG9+QUOTIENT(AG$7-AG$8,13)-1))</f>
        <v>2065</v>
      </c>
      <c r="AI9" s="518">
        <f>ROUND(IF($V9="Linear",TREND($D9:$J9,$D4:$J4,AJ4),GROWTH($D9:$J9,$D4:$J4,AJ4)),0)</f>
        <v>1976</v>
      </c>
      <c r="AJ9" s="519">
        <f>IF(OR(((AI$7-AI$8)/13)-QUOTIENT(AI$7-AI$8,13)=0, ROUND(ABS(((AI$7-AI$8)/13))-ABS(QUOTIENT(AI$7-AI$8,13)),3)&lt;=ROUND((ROW(AI9)-ROW(AI$9))/13,3)),
         AI9+QUOTIENT(AI$7-AI$8,13),
         IF(AI$7-AI$8&gt;0,
               AI9+QUOTIENT(AI$7-AI$8,13)+1,
               AI9+QUOTIENT(AI$7-AI$8,13)-1))</f>
        <v>2020</v>
      </c>
      <c r="AK9" s="349">
        <f t="array" ref="AK9:AK21">AB9:AB21</f>
        <v>2165</v>
      </c>
      <c r="AL9" s="517">
        <f t="array" ref="AL9:AL21">AK9:AK21+(AB28:AB40-AL28:AL40)</f>
        <v>2150</v>
      </c>
      <c r="AM9" s="518">
        <f t="array" ref="AM9:AM21">AD9:AD21</f>
        <v>2134</v>
      </c>
      <c r="AN9" s="518">
        <f t="array" ref="AN9:AN21">AM9:AM21+(AD28:AD40-AN28:AN40)</f>
        <v>2120</v>
      </c>
      <c r="AO9" s="518">
        <f t="array" ref="AO9:AO21">AF9:AF21</f>
        <v>2098</v>
      </c>
      <c r="AP9" s="518">
        <f t="array" ref="AP9:AP21">AO9:AO21+(AF28:AF40-AP28:AP40)</f>
        <v>2085</v>
      </c>
      <c r="AQ9" s="518">
        <f t="array" ref="AQ9:AQ21">AH9:AH21</f>
        <v>2065</v>
      </c>
      <c r="AR9" s="518">
        <f t="array" ref="AR9:AR21">AQ9:AQ21+(AH28:AH40-AR28:AR40)</f>
        <v>2052</v>
      </c>
      <c r="AS9" s="518">
        <f t="array" ref="AS9:AS21">AJ9:AJ21</f>
        <v>2020</v>
      </c>
      <c r="AT9" s="519">
        <f t="array" ref="AT9:AT21">AS9:AS21+(AJ28:AJ40-AT28:AT40)</f>
        <v>2008</v>
      </c>
      <c r="AU9" s="349">
        <f t="array" ref="AU9:AU21">AL9:AL21</f>
        <v>2150</v>
      </c>
      <c r="AV9" s="517">
        <f t="array" ref="AV9:AV21">AU9:AU21+(AL28:AL40-AV28:AV40)</f>
        <v>2135</v>
      </c>
      <c r="AW9" s="518">
        <f t="array" ref="AW9:AW21">AN9:AN21</f>
        <v>2120</v>
      </c>
      <c r="AX9" s="518">
        <f t="array" ref="AX9:AX21">AW9:AW21+(AN28:AN40-AX28:AX40)</f>
        <v>2105</v>
      </c>
      <c r="AY9" s="518">
        <f t="array" ref="AY9:AY21">AP9:AP21</f>
        <v>2085</v>
      </c>
      <c r="AZ9" s="518">
        <f t="array" ref="AZ9:AZ21">AY9:AY21+(AP28:AP40-AZ28:AZ40)</f>
        <v>2071</v>
      </c>
      <c r="BA9" s="518">
        <f t="array" ref="BA9:BA21">AR9:AR21</f>
        <v>2052</v>
      </c>
      <c r="BB9" s="518">
        <f t="array" ref="BB9:BB21">BA9:BA21+(AR28:AR40-BB28:BB40)</f>
        <v>2039</v>
      </c>
      <c r="BC9" s="518">
        <f t="array" ref="BC9:BC21">AT9:AT21</f>
        <v>2008</v>
      </c>
      <c r="BD9" s="519">
        <f t="array" ref="BD9:BD21">BC9:BC21+(AT28:AT40-BD28:BD40)</f>
        <v>1996</v>
      </c>
      <c r="BE9" s="349">
        <f t="array" ref="BE9:BE21">AV9:AV21</f>
        <v>2135</v>
      </c>
      <c r="BF9" s="517">
        <f t="array" ref="BF9:BF21">BE9:BE21+(AV28:AV40-BF28:BF40)</f>
        <v>2105</v>
      </c>
      <c r="BG9" s="518">
        <f t="array" ref="BG9:BG21">AX9:AX21</f>
        <v>2105</v>
      </c>
      <c r="BH9" s="518">
        <f t="array" ref="BH9:BH21">BG9:BG21+(AX28:AX40-BH28:BH40)</f>
        <v>2077</v>
      </c>
      <c r="BI9" s="518">
        <f t="array" ref="BI9:BI21">AZ9:AZ21</f>
        <v>2071</v>
      </c>
      <c r="BJ9" s="518">
        <f t="array" ref="BJ9:BJ21">BI9:BI21+(AZ28:AZ40-BJ28:BJ40)</f>
        <v>2043</v>
      </c>
      <c r="BK9" s="518">
        <f t="array" ref="BK9:BK21">BB9:BB21</f>
        <v>2039</v>
      </c>
      <c r="BL9" s="518">
        <f t="array" ref="BL9:BL21">BK9:BK21+(BB28:BB40-BL28:BL40)</f>
        <v>2013</v>
      </c>
      <c r="BM9" s="518">
        <f t="array" ref="BM9:BM21">BD9:BD21</f>
        <v>1996</v>
      </c>
      <c r="BN9" s="519">
        <f t="array" ref="BN9:BN21">BM9:BM21+(BD28:BD40-BN28:BN40)</f>
        <v>1971</v>
      </c>
      <c r="BO9" s="349">
        <f t="array" ref="BO9:BO21">BF9:BF21</f>
        <v>2105</v>
      </c>
      <c r="BP9" s="517">
        <f t="array" ref="BP9:BP21">BO9:BO21+(BF28:BF40-BP28:BP40)</f>
        <v>2044</v>
      </c>
      <c r="BQ9" s="518">
        <f t="array" ref="BQ9:BQ21">BH9:BH21</f>
        <v>2077</v>
      </c>
      <c r="BR9" s="518">
        <f t="array" ref="BR9:BR21">BQ9:BQ21+(BH28:BH40-BR28:BR40)</f>
        <v>2018</v>
      </c>
      <c r="BS9" s="518">
        <f t="array" ref="BS9:BS21">BJ9:BJ21</f>
        <v>2043</v>
      </c>
      <c r="BT9" s="518">
        <f t="array" ref="BT9:BT21">BS9:BS21+(BJ28:BJ40-BT28:BT40)</f>
        <v>1988</v>
      </c>
      <c r="BU9" s="518">
        <f t="array" ref="BU9:BU21">BL9:BL21</f>
        <v>2013</v>
      </c>
      <c r="BV9" s="518">
        <f t="array" ref="BV9:BV21">BU9:BU21+(BL28:BL40-BV28:BV40)</f>
        <v>1962</v>
      </c>
      <c r="BW9" s="518">
        <f t="array" ref="BW9:BW21">BN9:BN21</f>
        <v>1971</v>
      </c>
      <c r="BX9" s="519">
        <f t="array" ref="BX9:BX21">BW9:BW21+(BN28:BN40-BX28:BX40)</f>
        <v>1923</v>
      </c>
    </row>
    <row r="10" spans="2:76" ht="15.75" x14ac:dyDescent="0.3">
      <c r="B10" s="294" t="s">
        <v>382</v>
      </c>
      <c r="C10" s="294">
        <v>1</v>
      </c>
      <c r="D10" s="350">
        <v>2527.8333333333335</v>
      </c>
      <c r="E10" s="351">
        <v>2586.1666666666665</v>
      </c>
      <c r="F10" s="352">
        <v>2525</v>
      </c>
      <c r="G10" s="352">
        <v>2441.6666666666665</v>
      </c>
      <c r="H10" s="352">
        <v>2501.6666666666665</v>
      </c>
      <c r="I10" s="352">
        <v>2454.6666666666665</v>
      </c>
      <c r="J10" s="353">
        <v>2361.5</v>
      </c>
      <c r="K10" s="354" t="s">
        <v>449</v>
      </c>
      <c r="L10" s="397">
        <f t="array" ref="L10">AVERAGE((E10:J10-D9:I9)/D9:I9)</f>
        <v>7.1753000187015248E-2</v>
      </c>
      <c r="M10" s="355">
        <v>2</v>
      </c>
      <c r="N10" s="355"/>
      <c r="O10" s="355"/>
      <c r="P10" s="355"/>
      <c r="Q10" s="355"/>
      <c r="R10" s="355"/>
      <c r="S10" s="355">
        <f t="shared" ref="S10:S21" si="12">INDEX($D$9:$I$20,$M10+S$4,S$4+7)</f>
        <v>2184.1666666666665</v>
      </c>
      <c r="T10" s="354">
        <v>2361.5</v>
      </c>
      <c r="U10" s="354"/>
      <c r="V10" s="354"/>
      <c r="W10" s="354"/>
      <c r="X10" s="354"/>
      <c r="Y10" s="354"/>
      <c r="Z10" s="354"/>
      <c r="AA10" s="348">
        <f t="array" ref="AA10:AA21">ROUND(J9:J20*(1+$L10:$L21),0)</f>
        <v>2304</v>
      </c>
      <c r="AB10" s="520">
        <f t="shared" ref="AB10:AD21" si="13">IF(OR(((AA$7-AA$8)/13)-QUOTIENT(AA$7-AA$8,13)=0, ROUND(ABS(((AA$7-AA$8)/13))-ABS(QUOTIENT(AA$7-AA$8,13)),3)&lt;=ROUND((ROW(AA10)-ROW(AA$9))/13,3)),
         AA10+QUOTIENT(AA$7-AA$8,13),
         IF(AA$7-AA$8&gt;0,
               AA10+QUOTIENT(AA$7-AA$8,13)+1,
               AA10+QUOTIENT(AA$7-AA$8,13)-1))</f>
        <v>2337</v>
      </c>
      <c r="AC10" s="348">
        <f t="array" ref="AC10:AC21">ROUND(AB9:AB20*(1+$L10:$L21),0)</f>
        <v>2320</v>
      </c>
      <c r="AD10" s="348">
        <f t="shared" ref="AD10" si="14">IF(OR(((AC$7-AC$8)/13)-QUOTIENT(AC$7-AC$8,13)=0, ROUND(ABS(((AC$7-AC$8)/13))-ABS(QUOTIENT(AC$7-AC$8,13)),3)&lt;=ROUND((ROW(AC10)-ROW(AC$9))/13,3)),
         AC10+QUOTIENT(AC$7-AC$8,13),
         IF(AC$7-AC$8&gt;0,
               AC10+QUOTIENT(AC$7-AC$8,13)+1,
               AC10+QUOTIENT(AC$7-AC$8,13)-1))</f>
        <v>2361</v>
      </c>
      <c r="AE10" s="348">
        <f t="array" ref="AE10:AE21">ROUND(AD9:AD20*(1+$L10:$L21),0)</f>
        <v>2287</v>
      </c>
      <c r="AF10" s="348">
        <f t="shared" ref="AF10:AF21" si="15">IF(OR(((AE$7-AE$8)/13)-QUOTIENT(AE$7-AE$8,13)=0, ROUND(ABS(((AE$7-AE$8)/13))-ABS(QUOTIENT(AE$7-AE$8,13)),3)&lt;=ROUND((ROW(AE10)-ROW(AE$9))/13,3)),
         AE10+QUOTIENT(AE$7-AE$8,13),
         IF(AE$7-AE$8&gt;0,
               AE10+QUOTIENT(AE$7-AE$8,13)+1,
               AE10+QUOTIENT(AE$7-AE$8,13)-1))</f>
        <v>2331</v>
      </c>
      <c r="AG10" s="348">
        <f t="array" ref="AG10:AG21">ROUND(AF9:AF20*(1+$L10:$L21),0)</f>
        <v>2249</v>
      </c>
      <c r="AH10" s="348">
        <f t="shared" ref="AH10:AH21" si="16">IF(OR(((AG$7-AG$8)/13)-QUOTIENT(AG$7-AG$8,13)=0, ROUND(ABS(((AG$7-AG$8)/13))-ABS(QUOTIENT(AG$7-AG$8,13)),3)&lt;=ROUND((ROW(AG10)-ROW(AG$9))/13,3)),
         AG10+QUOTIENT(AG$7-AG$8,13),
         IF(AG$7-AG$8&gt;0,
               AG10+QUOTIENT(AG$7-AG$8,13)+1,
               AG10+QUOTIENT(AG$7-AG$8,13)-1))</f>
        <v>2299</v>
      </c>
      <c r="AI10" s="348">
        <f t="array" ref="AI10:AI21">ROUND(AH9:AH20*(1+$L10:$L21),0)</f>
        <v>2213</v>
      </c>
      <c r="AJ10" s="531">
        <f t="shared" ref="AJ10:AJ21" si="17">IF(OR(((AI$7-AI$8)/13)-QUOTIENT(AI$7-AI$8,13)=0, ROUND(ABS(((AI$7-AI$8)/13))-ABS(QUOTIENT(AI$7-AI$8,13)),3)&lt;=ROUND((ROW(AI10)-ROW(AI$9))/13,3)),
         AI10+QUOTIENT(AI$7-AI$8,13),
         IF(AI$7-AI$8&gt;0,
               AI10+QUOTIENT(AI$7-AI$8,13)+1,
               AI10+QUOTIENT(AI$7-AI$8,13)-1))</f>
        <v>2257</v>
      </c>
      <c r="AK10" s="348">
        <v>2337</v>
      </c>
      <c r="AL10" s="520">
        <v>2322</v>
      </c>
      <c r="AM10" s="348">
        <v>2361</v>
      </c>
      <c r="AN10" s="348">
        <v>2331</v>
      </c>
      <c r="AO10" s="348">
        <v>2331</v>
      </c>
      <c r="AP10" s="348">
        <v>2302</v>
      </c>
      <c r="AQ10" s="348">
        <v>2299</v>
      </c>
      <c r="AR10" s="348">
        <v>2272</v>
      </c>
      <c r="AS10" s="348">
        <v>2257</v>
      </c>
      <c r="AT10" s="531">
        <v>2231</v>
      </c>
      <c r="AU10" s="348">
        <v>2322</v>
      </c>
      <c r="AV10" s="520">
        <v>2307</v>
      </c>
      <c r="AW10" s="348">
        <v>2331</v>
      </c>
      <c r="AX10" s="348">
        <v>2299</v>
      </c>
      <c r="AY10" s="348">
        <v>2302</v>
      </c>
      <c r="AZ10" s="348">
        <v>2272</v>
      </c>
      <c r="BA10" s="348">
        <v>2272</v>
      </c>
      <c r="BB10" s="348">
        <v>2244</v>
      </c>
      <c r="BC10" s="348">
        <v>2231</v>
      </c>
      <c r="BD10" s="531">
        <v>2204</v>
      </c>
      <c r="BE10" s="348">
        <v>2307</v>
      </c>
      <c r="BF10" s="520">
        <v>2277</v>
      </c>
      <c r="BG10" s="348">
        <v>2299</v>
      </c>
      <c r="BH10" s="348">
        <v>2238</v>
      </c>
      <c r="BI10" s="348">
        <v>2272</v>
      </c>
      <c r="BJ10" s="348">
        <v>2214</v>
      </c>
      <c r="BK10" s="348">
        <v>2244</v>
      </c>
      <c r="BL10" s="348">
        <v>2187</v>
      </c>
      <c r="BM10" s="348">
        <v>2204</v>
      </c>
      <c r="BN10" s="531">
        <v>2151</v>
      </c>
      <c r="BO10" s="348">
        <v>2277</v>
      </c>
      <c r="BP10" s="520">
        <v>2216</v>
      </c>
      <c r="BQ10" s="348">
        <v>2238</v>
      </c>
      <c r="BR10" s="348">
        <v>2113</v>
      </c>
      <c r="BS10" s="348">
        <v>2214</v>
      </c>
      <c r="BT10" s="348">
        <v>2094</v>
      </c>
      <c r="BU10" s="348">
        <v>2187</v>
      </c>
      <c r="BV10" s="348">
        <v>2074</v>
      </c>
      <c r="BW10" s="348">
        <v>2151</v>
      </c>
      <c r="BX10" s="531">
        <v>2047</v>
      </c>
    </row>
    <row r="11" spans="2:76" ht="15.75" x14ac:dyDescent="0.3">
      <c r="B11" s="294" t="s">
        <v>383</v>
      </c>
      <c r="C11" s="294">
        <v>2</v>
      </c>
      <c r="D11" s="356">
        <v>2403.1666666666665</v>
      </c>
      <c r="E11" s="357">
        <v>2472.1666666666665</v>
      </c>
      <c r="F11" s="351">
        <v>2463</v>
      </c>
      <c r="G11" s="352">
        <v>2365.8333333333335</v>
      </c>
      <c r="H11" s="352">
        <v>2320.8333333333335</v>
      </c>
      <c r="I11" s="352">
        <v>2377</v>
      </c>
      <c r="J11" s="353">
        <v>2398.5</v>
      </c>
      <c r="K11" s="354" t="s">
        <v>450</v>
      </c>
      <c r="L11" s="397">
        <f t="array" ref="L11">AVERAGE((E11:J11-D10:I10)/D10:I10)</f>
        <v>-4.2481011336093832E-2</v>
      </c>
      <c r="M11" s="355">
        <v>3</v>
      </c>
      <c r="N11" s="355"/>
      <c r="O11" s="355"/>
      <c r="P11" s="355"/>
      <c r="Q11" s="355"/>
      <c r="R11" s="355">
        <f t="shared" ref="R11:R21" si="18">INDEX($D$9:$I$20,$M11+R$4,R$4+7)</f>
        <v>2275.1666666666665</v>
      </c>
      <c r="S11" s="355">
        <f t="shared" si="12"/>
        <v>2454.6666666666665</v>
      </c>
      <c r="T11" s="354">
        <v>2398.5</v>
      </c>
      <c r="U11" s="354"/>
      <c r="V11" s="354"/>
      <c r="W11" s="354"/>
      <c r="X11" s="354"/>
      <c r="Y11" s="354"/>
      <c r="Z11" s="354"/>
      <c r="AA11" s="348">
        <v>2261</v>
      </c>
      <c r="AB11" s="520">
        <f t="shared" si="13"/>
        <v>2294</v>
      </c>
      <c r="AC11" s="348">
        <v>2238</v>
      </c>
      <c r="AD11" s="348">
        <f t="shared" si="13"/>
        <v>2279</v>
      </c>
      <c r="AE11" s="348">
        <v>2261</v>
      </c>
      <c r="AF11" s="348">
        <f t="shared" si="15"/>
        <v>2305</v>
      </c>
      <c r="AG11" s="348">
        <v>2232</v>
      </c>
      <c r="AH11" s="348">
        <f t="shared" si="16"/>
        <v>2281</v>
      </c>
      <c r="AI11" s="348">
        <v>2201</v>
      </c>
      <c r="AJ11" s="531">
        <f t="shared" si="17"/>
        <v>2245</v>
      </c>
      <c r="AK11" s="348">
        <v>2294</v>
      </c>
      <c r="AL11" s="520">
        <v>2279</v>
      </c>
      <c r="AM11" s="348">
        <v>2279</v>
      </c>
      <c r="AN11" s="348">
        <v>2247</v>
      </c>
      <c r="AO11" s="348">
        <v>2305</v>
      </c>
      <c r="AP11" s="348">
        <v>2258</v>
      </c>
      <c r="AQ11" s="348">
        <v>2281</v>
      </c>
      <c r="AR11" s="348">
        <v>2235</v>
      </c>
      <c r="AS11" s="348">
        <v>2245</v>
      </c>
      <c r="AT11" s="531">
        <v>2203</v>
      </c>
      <c r="AU11" s="348">
        <v>2279</v>
      </c>
      <c r="AV11" s="520">
        <v>2264</v>
      </c>
      <c r="AW11" s="348">
        <v>2247</v>
      </c>
      <c r="AX11" s="348">
        <v>2216</v>
      </c>
      <c r="AY11" s="348">
        <v>2258</v>
      </c>
      <c r="AZ11" s="348">
        <v>2209</v>
      </c>
      <c r="BA11" s="348">
        <v>2235</v>
      </c>
      <c r="BB11" s="348">
        <v>2189</v>
      </c>
      <c r="BC11" s="348">
        <v>2203</v>
      </c>
      <c r="BD11" s="531">
        <v>2159</v>
      </c>
      <c r="BE11" s="348">
        <v>2264</v>
      </c>
      <c r="BF11" s="520">
        <v>2234</v>
      </c>
      <c r="BG11" s="348">
        <v>2216</v>
      </c>
      <c r="BH11" s="348">
        <v>2155</v>
      </c>
      <c r="BI11" s="348">
        <v>2209</v>
      </c>
      <c r="BJ11" s="348">
        <v>2113</v>
      </c>
      <c r="BK11" s="348">
        <v>2189</v>
      </c>
      <c r="BL11" s="348">
        <v>2098</v>
      </c>
      <c r="BM11" s="348">
        <v>2159</v>
      </c>
      <c r="BN11" s="531">
        <v>2071</v>
      </c>
      <c r="BO11" s="348">
        <v>2234</v>
      </c>
      <c r="BP11" s="520">
        <v>2173</v>
      </c>
      <c r="BQ11" s="348">
        <v>2155</v>
      </c>
      <c r="BR11" s="348">
        <v>2029</v>
      </c>
      <c r="BS11" s="348">
        <v>2113</v>
      </c>
      <c r="BT11" s="348">
        <v>1919</v>
      </c>
      <c r="BU11" s="348">
        <v>2098</v>
      </c>
      <c r="BV11" s="348">
        <v>1912</v>
      </c>
      <c r="BW11" s="348">
        <v>2071</v>
      </c>
      <c r="BX11" s="531">
        <v>1897</v>
      </c>
    </row>
    <row r="12" spans="2:76" ht="15.75" x14ac:dyDescent="0.3">
      <c r="B12" s="294" t="s">
        <v>393</v>
      </c>
      <c r="C12" s="294">
        <v>3</v>
      </c>
      <c r="D12" s="358">
        <v>2400.3333333333335</v>
      </c>
      <c r="E12" s="359">
        <v>2370</v>
      </c>
      <c r="F12" s="357">
        <v>2386.3333333333335</v>
      </c>
      <c r="G12" s="351">
        <v>2331.1666666666665</v>
      </c>
      <c r="H12" s="352">
        <v>2266.5</v>
      </c>
      <c r="I12" s="352">
        <v>2244.1666666666665</v>
      </c>
      <c r="J12" s="353">
        <v>2333.3333333333335</v>
      </c>
      <c r="K12" s="354" t="s">
        <v>451</v>
      </c>
      <c r="L12" s="397">
        <f t="array" ref="L12">AVERAGE((E12:J12-D11:I11)/D11:I11)</f>
        <v>-3.2572974676685608E-2</v>
      </c>
      <c r="M12" s="355">
        <v>4</v>
      </c>
      <c r="N12" s="355"/>
      <c r="O12" s="355"/>
      <c r="P12" s="355"/>
      <c r="Q12" s="355">
        <f t="shared" ref="Q12:Q21" si="19">INDEX($D$9:$I$20,$M12+Q$4,Q$4+7)</f>
        <v>2354.1666666666665</v>
      </c>
      <c r="R12" s="355">
        <f t="shared" si="18"/>
        <v>2501.6666666666665</v>
      </c>
      <c r="S12" s="355">
        <f t="shared" si="12"/>
        <v>2377</v>
      </c>
      <c r="T12" s="354">
        <v>2333.3333333333335</v>
      </c>
      <c r="U12" s="354"/>
      <c r="V12" s="354"/>
      <c r="W12" s="354"/>
      <c r="X12" s="354"/>
      <c r="Y12" s="354"/>
      <c r="Z12" s="354"/>
      <c r="AA12" s="348">
        <v>2320</v>
      </c>
      <c r="AB12" s="520">
        <f t="shared" si="13"/>
        <v>2353</v>
      </c>
      <c r="AC12" s="348">
        <v>2219</v>
      </c>
      <c r="AD12" s="348">
        <f t="shared" si="13"/>
        <v>2260</v>
      </c>
      <c r="AE12" s="348">
        <v>2205</v>
      </c>
      <c r="AF12" s="348">
        <f t="shared" si="15"/>
        <v>2249</v>
      </c>
      <c r="AG12" s="348">
        <v>2230</v>
      </c>
      <c r="AH12" s="348">
        <f t="shared" si="16"/>
        <v>2279</v>
      </c>
      <c r="AI12" s="348">
        <v>2207</v>
      </c>
      <c r="AJ12" s="531">
        <f t="shared" si="17"/>
        <v>2250</v>
      </c>
      <c r="AK12" s="348">
        <v>2353</v>
      </c>
      <c r="AL12" s="520">
        <v>2338</v>
      </c>
      <c r="AM12" s="348">
        <v>2260</v>
      </c>
      <c r="AN12" s="348">
        <v>2228</v>
      </c>
      <c r="AO12" s="348">
        <v>2249</v>
      </c>
      <c r="AP12" s="348">
        <v>2200</v>
      </c>
      <c r="AQ12" s="348">
        <v>2279</v>
      </c>
      <c r="AR12" s="348">
        <v>2215</v>
      </c>
      <c r="AS12" s="348">
        <v>2250</v>
      </c>
      <c r="AT12" s="531">
        <v>2188</v>
      </c>
      <c r="AU12" s="348">
        <v>2338</v>
      </c>
      <c r="AV12" s="520">
        <v>2324</v>
      </c>
      <c r="AW12" s="348">
        <v>2228</v>
      </c>
      <c r="AX12" s="348">
        <v>2198</v>
      </c>
      <c r="AY12" s="348">
        <v>2200</v>
      </c>
      <c r="AZ12" s="348">
        <v>2154</v>
      </c>
      <c r="BA12" s="348">
        <v>2215</v>
      </c>
      <c r="BB12" s="348">
        <v>2148</v>
      </c>
      <c r="BC12" s="348">
        <v>2188</v>
      </c>
      <c r="BD12" s="531">
        <v>2125</v>
      </c>
      <c r="BE12" s="348">
        <v>2324</v>
      </c>
      <c r="BF12" s="520">
        <v>2294</v>
      </c>
      <c r="BG12" s="348">
        <v>2198</v>
      </c>
      <c r="BH12" s="348">
        <v>2137</v>
      </c>
      <c r="BI12" s="348">
        <v>2154</v>
      </c>
      <c r="BJ12" s="348">
        <v>2059</v>
      </c>
      <c r="BK12" s="348">
        <v>2148</v>
      </c>
      <c r="BL12" s="348">
        <v>2017</v>
      </c>
      <c r="BM12" s="348">
        <v>2125</v>
      </c>
      <c r="BN12" s="531">
        <v>2002</v>
      </c>
      <c r="BO12" s="348">
        <v>2294</v>
      </c>
      <c r="BP12" s="520">
        <v>2233</v>
      </c>
      <c r="BQ12" s="348">
        <v>2137</v>
      </c>
      <c r="BR12" s="348">
        <v>2013</v>
      </c>
      <c r="BS12" s="348">
        <v>2059</v>
      </c>
      <c r="BT12" s="348">
        <v>1867</v>
      </c>
      <c r="BU12" s="348">
        <v>2017</v>
      </c>
      <c r="BV12" s="348">
        <v>1754</v>
      </c>
      <c r="BW12" s="348">
        <v>2002</v>
      </c>
      <c r="BX12" s="531">
        <v>1751</v>
      </c>
    </row>
    <row r="13" spans="2:76" ht="15.75" x14ac:dyDescent="0.3">
      <c r="B13" s="294" t="s">
        <v>384</v>
      </c>
      <c r="C13" s="294">
        <v>4</v>
      </c>
      <c r="D13" s="360">
        <v>2383</v>
      </c>
      <c r="E13" s="361">
        <v>2377.1666666666665</v>
      </c>
      <c r="F13" s="359">
        <v>2334.8333333333335</v>
      </c>
      <c r="G13" s="357">
        <v>2284.3333333333335</v>
      </c>
      <c r="H13" s="351">
        <v>2252.5</v>
      </c>
      <c r="I13" s="352">
        <v>2192.5</v>
      </c>
      <c r="J13" s="353">
        <v>2239.6666666666665</v>
      </c>
      <c r="K13" s="354" t="s">
        <v>452</v>
      </c>
      <c r="L13" s="397">
        <f t="array" ref="L13">AVERAGE((E13:J13-D12:I12)/D12:I12)</f>
        <v>-2.2605562051678033E-2</v>
      </c>
      <c r="M13" s="355">
        <v>5</v>
      </c>
      <c r="N13" s="355"/>
      <c r="O13" s="355"/>
      <c r="P13" s="355">
        <f t="shared" ref="P13:P21" si="20">INDEX($D$9:$I$20,$M13+P$4,P$4+7)</f>
        <v>2323.3333333333335</v>
      </c>
      <c r="Q13" s="355">
        <f t="shared" si="19"/>
        <v>2441.6666666666665</v>
      </c>
      <c r="R13" s="355">
        <f t="shared" si="18"/>
        <v>2320.8333333333335</v>
      </c>
      <c r="S13" s="355">
        <f t="shared" si="12"/>
        <v>2244.1666666666665</v>
      </c>
      <c r="T13" s="354">
        <v>2239.6666666666665</v>
      </c>
      <c r="U13" s="354"/>
      <c r="V13" s="354"/>
      <c r="W13" s="354"/>
      <c r="X13" s="354"/>
      <c r="Y13" s="354"/>
      <c r="Z13" s="354"/>
      <c r="AA13" s="348">
        <v>2281</v>
      </c>
      <c r="AB13" s="520">
        <f t="shared" si="13"/>
        <v>2314</v>
      </c>
      <c r="AC13" s="348">
        <v>2300</v>
      </c>
      <c r="AD13" s="348">
        <f t="shared" si="13"/>
        <v>2341</v>
      </c>
      <c r="AE13" s="348">
        <v>2209</v>
      </c>
      <c r="AF13" s="348">
        <f t="shared" si="15"/>
        <v>2253</v>
      </c>
      <c r="AG13" s="348">
        <v>2198</v>
      </c>
      <c r="AH13" s="348">
        <f t="shared" si="16"/>
        <v>2247</v>
      </c>
      <c r="AI13" s="348">
        <v>2227</v>
      </c>
      <c r="AJ13" s="531">
        <f t="shared" si="17"/>
        <v>2270</v>
      </c>
      <c r="AK13" s="348">
        <v>2314</v>
      </c>
      <c r="AL13" s="520">
        <v>2299</v>
      </c>
      <c r="AM13" s="348">
        <v>2341</v>
      </c>
      <c r="AN13" s="348">
        <v>2310</v>
      </c>
      <c r="AO13" s="348">
        <v>2253</v>
      </c>
      <c r="AP13" s="348">
        <v>2204</v>
      </c>
      <c r="AQ13" s="348">
        <v>2247</v>
      </c>
      <c r="AR13" s="348">
        <v>2180</v>
      </c>
      <c r="AS13" s="348">
        <v>2270</v>
      </c>
      <c r="AT13" s="531">
        <v>2188</v>
      </c>
      <c r="AU13" s="348">
        <v>2299</v>
      </c>
      <c r="AV13" s="520">
        <v>2284</v>
      </c>
      <c r="AW13" s="348">
        <v>2310</v>
      </c>
      <c r="AX13" s="348">
        <v>2280</v>
      </c>
      <c r="AY13" s="348">
        <v>2204</v>
      </c>
      <c r="AZ13" s="348">
        <v>2157</v>
      </c>
      <c r="BA13" s="348">
        <v>2180</v>
      </c>
      <c r="BB13" s="348">
        <v>2116</v>
      </c>
      <c r="BC13" s="348">
        <v>2188</v>
      </c>
      <c r="BD13" s="531">
        <v>2102</v>
      </c>
      <c r="BE13" s="348">
        <v>2284</v>
      </c>
      <c r="BF13" s="520">
        <v>2255</v>
      </c>
      <c r="BG13" s="348">
        <v>2280</v>
      </c>
      <c r="BH13" s="348">
        <v>2219</v>
      </c>
      <c r="BI13" s="348">
        <v>2157</v>
      </c>
      <c r="BJ13" s="348">
        <v>2063</v>
      </c>
      <c r="BK13" s="348">
        <v>2116</v>
      </c>
      <c r="BL13" s="348">
        <v>1986</v>
      </c>
      <c r="BM13" s="348">
        <v>2102</v>
      </c>
      <c r="BN13" s="531">
        <v>1934</v>
      </c>
      <c r="BO13" s="348">
        <v>2255</v>
      </c>
      <c r="BP13" s="520">
        <v>2194</v>
      </c>
      <c r="BQ13" s="348">
        <v>2219</v>
      </c>
      <c r="BR13" s="348">
        <v>2094</v>
      </c>
      <c r="BS13" s="348">
        <v>2063</v>
      </c>
      <c r="BT13" s="348">
        <v>1872</v>
      </c>
      <c r="BU13" s="348">
        <v>1986</v>
      </c>
      <c r="BV13" s="348">
        <v>1723</v>
      </c>
      <c r="BW13" s="348">
        <v>1934</v>
      </c>
      <c r="BX13" s="531">
        <v>1597</v>
      </c>
    </row>
    <row r="14" spans="2:76" ht="15.75" x14ac:dyDescent="0.3">
      <c r="B14" s="294" t="s">
        <v>385</v>
      </c>
      <c r="C14" s="294">
        <v>5</v>
      </c>
      <c r="D14" s="362">
        <v>2382.6666666666665</v>
      </c>
      <c r="E14" s="363">
        <v>2310.5</v>
      </c>
      <c r="F14" s="361">
        <v>2252.3333333333335</v>
      </c>
      <c r="G14" s="359">
        <v>2123.5</v>
      </c>
      <c r="H14" s="357">
        <v>2123</v>
      </c>
      <c r="I14" s="351">
        <v>2085.3333333333335</v>
      </c>
      <c r="J14" s="353">
        <v>2105</v>
      </c>
      <c r="K14" s="354" t="s">
        <v>453</v>
      </c>
      <c r="L14" s="397">
        <f t="array" ref="L14">AVERAGE((E14:J14-D13:I13)/D13:I13)</f>
        <v>-5.9699865511383232E-2</v>
      </c>
      <c r="M14" s="355">
        <v>6</v>
      </c>
      <c r="N14" s="355"/>
      <c r="O14" s="355">
        <f t="shared" ref="O14:O21" si="21">INDEX($D$9:$I$20,$M14+O$4,O$4+7)</f>
        <v>2350.8333333333335</v>
      </c>
      <c r="P14" s="355">
        <f t="shared" si="20"/>
        <v>2525</v>
      </c>
      <c r="Q14" s="355">
        <f t="shared" si="19"/>
        <v>2365.8333333333335</v>
      </c>
      <c r="R14" s="355">
        <f t="shared" si="18"/>
        <v>2266.5</v>
      </c>
      <c r="S14" s="355">
        <f t="shared" si="12"/>
        <v>2192.5</v>
      </c>
      <c r="T14" s="354">
        <v>2105</v>
      </c>
      <c r="U14" s="354"/>
      <c r="V14" s="354"/>
      <c r="W14" s="354"/>
      <c r="X14" s="354"/>
      <c r="Y14" s="354"/>
      <c r="Z14" s="354"/>
      <c r="AA14" s="348">
        <v>2106</v>
      </c>
      <c r="AB14" s="520">
        <f t="shared" si="13"/>
        <v>2139</v>
      </c>
      <c r="AC14" s="348">
        <v>2176</v>
      </c>
      <c r="AD14" s="348">
        <f t="shared" si="13"/>
        <v>2217</v>
      </c>
      <c r="AE14" s="348">
        <v>2201</v>
      </c>
      <c r="AF14" s="348">
        <f t="shared" si="15"/>
        <v>2245</v>
      </c>
      <c r="AG14" s="348">
        <v>2118</v>
      </c>
      <c r="AH14" s="348">
        <f t="shared" si="16"/>
        <v>2167</v>
      </c>
      <c r="AI14" s="348">
        <v>2113</v>
      </c>
      <c r="AJ14" s="531">
        <f t="shared" si="17"/>
        <v>2156</v>
      </c>
      <c r="AK14" s="348">
        <v>2139</v>
      </c>
      <c r="AL14" s="520">
        <v>2124</v>
      </c>
      <c r="AM14" s="348">
        <v>2217</v>
      </c>
      <c r="AN14" s="348">
        <v>2183</v>
      </c>
      <c r="AO14" s="348">
        <v>2245</v>
      </c>
      <c r="AP14" s="348">
        <v>2193</v>
      </c>
      <c r="AQ14" s="348">
        <v>2167</v>
      </c>
      <c r="AR14" s="348">
        <v>2093</v>
      </c>
      <c r="AS14" s="348">
        <v>2156</v>
      </c>
      <c r="AT14" s="531">
        <v>2060</v>
      </c>
      <c r="AU14" s="348">
        <v>2124</v>
      </c>
      <c r="AV14" s="520">
        <v>2109</v>
      </c>
      <c r="AW14" s="348">
        <v>2183</v>
      </c>
      <c r="AX14" s="348">
        <v>2150</v>
      </c>
      <c r="AY14" s="348">
        <v>2193</v>
      </c>
      <c r="AZ14" s="348">
        <v>2141</v>
      </c>
      <c r="BA14" s="348">
        <v>2093</v>
      </c>
      <c r="BB14" s="348">
        <v>2021</v>
      </c>
      <c r="BC14" s="348">
        <v>2060</v>
      </c>
      <c r="BD14" s="531">
        <v>1967</v>
      </c>
      <c r="BE14" s="348">
        <v>2109</v>
      </c>
      <c r="BF14" s="520">
        <v>2079</v>
      </c>
      <c r="BG14" s="348">
        <v>2150</v>
      </c>
      <c r="BH14" s="348">
        <v>2085</v>
      </c>
      <c r="BI14" s="348">
        <v>2141</v>
      </c>
      <c r="BJ14" s="348">
        <v>2038</v>
      </c>
      <c r="BK14" s="348">
        <v>2021</v>
      </c>
      <c r="BL14" s="348">
        <v>1877</v>
      </c>
      <c r="BM14" s="348">
        <v>1967</v>
      </c>
      <c r="BN14" s="531">
        <v>1781</v>
      </c>
      <c r="BO14" s="348">
        <v>2079</v>
      </c>
      <c r="BP14" s="520">
        <v>2020</v>
      </c>
      <c r="BQ14" s="348">
        <v>2085</v>
      </c>
      <c r="BR14" s="348">
        <v>1952</v>
      </c>
      <c r="BS14" s="348">
        <v>2038</v>
      </c>
      <c r="BT14" s="348">
        <v>1827</v>
      </c>
      <c r="BU14" s="348">
        <v>1877</v>
      </c>
      <c r="BV14" s="348">
        <v>1587</v>
      </c>
      <c r="BW14" s="348">
        <v>1781</v>
      </c>
      <c r="BX14" s="531">
        <v>1405</v>
      </c>
    </row>
    <row r="15" spans="2:76" ht="15.75" x14ac:dyDescent="0.3">
      <c r="B15" s="294" t="s">
        <v>394</v>
      </c>
      <c r="C15" s="294">
        <v>6</v>
      </c>
      <c r="D15" s="364">
        <v>2317.1666666666665</v>
      </c>
      <c r="E15" s="365">
        <v>2318.5</v>
      </c>
      <c r="F15" s="363">
        <v>2185.5</v>
      </c>
      <c r="G15" s="361">
        <v>2062</v>
      </c>
      <c r="H15" s="359">
        <v>1939.3333333333333</v>
      </c>
      <c r="I15" s="357">
        <v>1888.3333333333333</v>
      </c>
      <c r="J15" s="366">
        <v>1919.3333333333333</v>
      </c>
      <c r="K15" s="354" t="s">
        <v>454</v>
      </c>
      <c r="L15" s="397">
        <f t="array" ref="L15">AVERAGE((E15:J15-D14:I14)/D14:I14)</f>
        <v>-7.3733880756919321E-2</v>
      </c>
      <c r="M15" s="347">
        <v>7</v>
      </c>
      <c r="N15" s="347">
        <f t="shared" ref="N15:N21" si="22">INDEX($D$9:$I$20,$M15+N$4,N$4+7)</f>
        <v>2388.5</v>
      </c>
      <c r="O15" s="347">
        <f t="shared" si="21"/>
        <v>2586.1666666666665</v>
      </c>
      <c r="P15" s="347">
        <f t="shared" si="20"/>
        <v>2463</v>
      </c>
      <c r="Q15" s="347">
        <f t="shared" si="19"/>
        <v>2331.1666666666665</v>
      </c>
      <c r="R15" s="347">
        <f t="shared" si="18"/>
        <v>2252.5</v>
      </c>
      <c r="S15" s="347">
        <f t="shared" si="12"/>
        <v>2085.3333333333335</v>
      </c>
      <c r="T15" s="347">
        <v>1919.3333333333333</v>
      </c>
      <c r="U15" s="347"/>
      <c r="V15" s="347" t="str">
        <f>IF(X15&gt;Z15,"Linear","Logarithmic")</f>
        <v>Logarithmic</v>
      </c>
      <c r="W15" s="347">
        <f t="shared" ref="W15:W21" si="23">LINEST($N15:$T15,$N$4:$T$4)</f>
        <v>-93.559523809523782</v>
      </c>
      <c r="X15" s="347">
        <f>INDEX(LINEST($N15:$T15,$N$4:$T$4,TRUE,TRUE),3)</f>
        <v>0.79132559977327699</v>
      </c>
      <c r="Y15" s="347">
        <f>LOGEST($N15:$T15,$N$4:$T$4, TRUE, TRUE)</f>
        <v>0.95887326037843434</v>
      </c>
      <c r="Z15" s="347">
        <f>INDEX(LOGEST($N15:$T15,$N$4:$T$4, TRUE, TRUE),3)</f>
        <v>0.79325032214671853</v>
      </c>
      <c r="AA15" s="367">
        <v>1950</v>
      </c>
      <c r="AB15" s="521">
        <f t="shared" si="13"/>
        <v>1983</v>
      </c>
      <c r="AC15" s="367">
        <v>1981</v>
      </c>
      <c r="AD15" s="367">
        <f t="shared" si="13"/>
        <v>2021</v>
      </c>
      <c r="AE15" s="367">
        <v>2054</v>
      </c>
      <c r="AF15" s="367">
        <f t="shared" si="15"/>
        <v>2098</v>
      </c>
      <c r="AG15" s="367">
        <v>2079</v>
      </c>
      <c r="AH15" s="367">
        <f t="shared" si="16"/>
        <v>2128</v>
      </c>
      <c r="AI15" s="367">
        <v>2007</v>
      </c>
      <c r="AJ15" s="532">
        <f t="shared" si="17"/>
        <v>2050</v>
      </c>
      <c r="AK15" s="367">
        <v>1983</v>
      </c>
      <c r="AL15" s="521">
        <v>1968</v>
      </c>
      <c r="AM15" s="367">
        <v>2021</v>
      </c>
      <c r="AN15" s="367">
        <v>1988</v>
      </c>
      <c r="AO15" s="367">
        <v>2098</v>
      </c>
      <c r="AP15" s="367">
        <v>2041</v>
      </c>
      <c r="AQ15" s="367">
        <v>2128</v>
      </c>
      <c r="AR15" s="367">
        <v>2050</v>
      </c>
      <c r="AS15" s="367">
        <v>2050</v>
      </c>
      <c r="AT15" s="532">
        <v>1945</v>
      </c>
      <c r="AU15" s="367">
        <v>1968</v>
      </c>
      <c r="AV15" s="521">
        <v>1953</v>
      </c>
      <c r="AW15" s="367">
        <v>1988</v>
      </c>
      <c r="AX15" s="367">
        <v>1955</v>
      </c>
      <c r="AY15" s="367">
        <v>2041</v>
      </c>
      <c r="AZ15" s="367">
        <v>1986</v>
      </c>
      <c r="BA15" s="367">
        <v>2050</v>
      </c>
      <c r="BB15" s="367">
        <v>1972</v>
      </c>
      <c r="BC15" s="367">
        <v>1945</v>
      </c>
      <c r="BD15" s="532">
        <v>1843</v>
      </c>
      <c r="BE15" s="367">
        <v>1953</v>
      </c>
      <c r="BF15" s="521">
        <v>1923</v>
      </c>
      <c r="BG15" s="367">
        <v>1955</v>
      </c>
      <c r="BH15" s="367">
        <v>1888</v>
      </c>
      <c r="BI15" s="367">
        <v>1986</v>
      </c>
      <c r="BJ15" s="367">
        <v>1877</v>
      </c>
      <c r="BK15" s="367">
        <v>1972</v>
      </c>
      <c r="BL15" s="367">
        <v>1817</v>
      </c>
      <c r="BM15" s="367">
        <v>1843</v>
      </c>
      <c r="BN15" s="532">
        <v>1638</v>
      </c>
      <c r="BO15" s="367">
        <v>1923</v>
      </c>
      <c r="BP15" s="521">
        <v>1864</v>
      </c>
      <c r="BQ15" s="367">
        <v>1888</v>
      </c>
      <c r="BR15" s="367">
        <v>1757</v>
      </c>
      <c r="BS15" s="367">
        <v>1877</v>
      </c>
      <c r="BT15" s="367">
        <v>1656</v>
      </c>
      <c r="BU15" s="367">
        <v>1817</v>
      </c>
      <c r="BV15" s="367">
        <v>1500</v>
      </c>
      <c r="BW15" s="367">
        <v>1638</v>
      </c>
      <c r="BX15" s="532">
        <v>1226</v>
      </c>
    </row>
    <row r="16" spans="2:76" ht="15.75" x14ac:dyDescent="0.3">
      <c r="B16" s="294" t="s">
        <v>386</v>
      </c>
      <c r="C16" s="294">
        <v>7</v>
      </c>
      <c r="D16" s="368">
        <v>2286</v>
      </c>
      <c r="E16" s="369">
        <v>2260.5</v>
      </c>
      <c r="F16" s="365">
        <v>2168.8333333333335</v>
      </c>
      <c r="G16" s="363">
        <v>2017</v>
      </c>
      <c r="H16" s="361">
        <v>1912.5</v>
      </c>
      <c r="I16" s="359">
        <v>1847.3333333333333</v>
      </c>
      <c r="J16" s="370">
        <v>1873.5</v>
      </c>
      <c r="K16" s="354" t="s">
        <v>455</v>
      </c>
      <c r="L16" s="397">
        <f t="array" ref="L16">AVERAGE((E16:J16-D15:I15)/D15:I15)</f>
        <v>-4.8984017610399645E-2</v>
      </c>
      <c r="M16" s="371">
        <v>8</v>
      </c>
      <c r="N16" s="371">
        <f t="shared" si="22"/>
        <v>2527.8333333333335</v>
      </c>
      <c r="O16" s="371">
        <f t="shared" si="21"/>
        <v>2472.1666666666665</v>
      </c>
      <c r="P16" s="371">
        <f t="shared" si="20"/>
        <v>2386.3333333333335</v>
      </c>
      <c r="Q16" s="371">
        <f t="shared" si="19"/>
        <v>2284.3333333333335</v>
      </c>
      <c r="R16" s="371">
        <f t="shared" si="18"/>
        <v>2123</v>
      </c>
      <c r="S16" s="371">
        <f t="shared" si="12"/>
        <v>1888.3333333333333</v>
      </c>
      <c r="T16" s="371">
        <v>1873.5</v>
      </c>
      <c r="U16" s="371"/>
      <c r="V16" s="371" t="str">
        <f t="shared" ref="V16:V21" si="24">IF(X16&gt;Z16,"Linear","Logarithmic")</f>
        <v>Linear</v>
      </c>
      <c r="W16" s="371">
        <f t="shared" si="23"/>
        <v>-121.21428571428574</v>
      </c>
      <c r="X16" s="371">
        <f t="shared" ref="X16:X21" si="25">INDEX(LINEST($N16:$T16,$N$4:$T$4,TRUE,TRUE),3)</f>
        <v>0.95764992639979596</v>
      </c>
      <c r="Y16" s="371">
        <f t="shared" ref="Y16:Y21" si="26">LOGEST($N16:$T16,$N$4:$T$4, TRUE, TRUE)</f>
        <v>0.94599880792758595</v>
      </c>
      <c r="Z16" s="371">
        <f t="shared" ref="Z16:Z21" si="27">INDEX(LOGEST($N16:$T16,$N$4:$T$4, TRUE, TRUE),3)</f>
        <v>0.94569670365195202</v>
      </c>
      <c r="AA16" s="372">
        <v>1825</v>
      </c>
      <c r="AB16" s="522">
        <f t="shared" si="13"/>
        <v>1858</v>
      </c>
      <c r="AC16" s="367">
        <v>1886</v>
      </c>
      <c r="AD16" s="367">
        <f t="shared" si="13"/>
        <v>1926</v>
      </c>
      <c r="AE16" s="367">
        <v>1922</v>
      </c>
      <c r="AF16" s="367">
        <f t="shared" si="15"/>
        <v>1965</v>
      </c>
      <c r="AG16" s="367">
        <v>1995</v>
      </c>
      <c r="AH16" s="367">
        <f t="shared" si="16"/>
        <v>2044</v>
      </c>
      <c r="AI16" s="367">
        <v>2024</v>
      </c>
      <c r="AJ16" s="532">
        <f t="shared" si="17"/>
        <v>2067</v>
      </c>
      <c r="AK16" s="372">
        <v>1858</v>
      </c>
      <c r="AL16" s="522">
        <v>1843</v>
      </c>
      <c r="AM16" s="367">
        <v>1926</v>
      </c>
      <c r="AN16" s="367">
        <v>1894</v>
      </c>
      <c r="AO16" s="367">
        <v>1965</v>
      </c>
      <c r="AP16" s="367">
        <v>1911</v>
      </c>
      <c r="AQ16" s="367">
        <v>2044</v>
      </c>
      <c r="AR16" s="367">
        <v>1962</v>
      </c>
      <c r="AS16" s="367">
        <v>2067</v>
      </c>
      <c r="AT16" s="532">
        <v>1961</v>
      </c>
      <c r="AU16" s="372">
        <v>1843</v>
      </c>
      <c r="AV16" s="522">
        <v>1828</v>
      </c>
      <c r="AW16" s="367">
        <v>1894</v>
      </c>
      <c r="AX16" s="367">
        <v>1862</v>
      </c>
      <c r="AY16" s="367">
        <v>1911</v>
      </c>
      <c r="AZ16" s="367">
        <v>1857</v>
      </c>
      <c r="BA16" s="367">
        <v>1962</v>
      </c>
      <c r="BB16" s="367">
        <v>1882</v>
      </c>
      <c r="BC16" s="367">
        <v>1961</v>
      </c>
      <c r="BD16" s="532">
        <v>1855</v>
      </c>
      <c r="BE16" s="372">
        <v>1828</v>
      </c>
      <c r="BF16" s="522">
        <v>1798</v>
      </c>
      <c r="BG16" s="367">
        <v>1862</v>
      </c>
      <c r="BH16" s="367">
        <v>1796</v>
      </c>
      <c r="BI16" s="367">
        <v>1857</v>
      </c>
      <c r="BJ16" s="367">
        <v>1749</v>
      </c>
      <c r="BK16" s="367">
        <v>1882</v>
      </c>
      <c r="BL16" s="367">
        <v>1724</v>
      </c>
      <c r="BM16" s="367">
        <v>1855</v>
      </c>
      <c r="BN16" s="532">
        <v>1643</v>
      </c>
      <c r="BO16" s="372">
        <v>1798</v>
      </c>
      <c r="BP16" s="522">
        <v>1739</v>
      </c>
      <c r="BQ16" s="367">
        <v>1796</v>
      </c>
      <c r="BR16" s="367">
        <v>1668</v>
      </c>
      <c r="BS16" s="367">
        <v>1749</v>
      </c>
      <c r="BT16" s="367">
        <v>1536</v>
      </c>
      <c r="BU16" s="367">
        <v>1724</v>
      </c>
      <c r="BV16" s="367">
        <v>1404</v>
      </c>
      <c r="BW16" s="367">
        <v>1643</v>
      </c>
      <c r="BX16" s="532">
        <v>1211</v>
      </c>
    </row>
    <row r="17" spans="2:76" ht="15.75" x14ac:dyDescent="0.3">
      <c r="B17" s="294" t="s">
        <v>387</v>
      </c>
      <c r="C17" s="294">
        <v>8</v>
      </c>
      <c r="D17" s="368">
        <v>2301.1666666666665</v>
      </c>
      <c r="E17" s="352">
        <v>2274.3333333333335</v>
      </c>
      <c r="F17" s="369">
        <v>2186</v>
      </c>
      <c r="G17" s="365">
        <v>2028.8333333333333</v>
      </c>
      <c r="H17" s="363">
        <v>1917</v>
      </c>
      <c r="I17" s="361">
        <v>1816.1666666666667</v>
      </c>
      <c r="J17" s="373">
        <v>1829.6666666666667</v>
      </c>
      <c r="K17" s="354" t="s">
        <v>456</v>
      </c>
      <c r="L17" s="397">
        <f t="array" ref="L17">AVERAGE((E17:J17-D16:I16)/D16:I16)</f>
        <v>-3.5353993299324031E-2</v>
      </c>
      <c r="M17" s="374">
        <v>9</v>
      </c>
      <c r="N17" s="374">
        <f t="shared" si="22"/>
        <v>2403.1666666666665</v>
      </c>
      <c r="O17" s="374">
        <f t="shared" si="21"/>
        <v>2370</v>
      </c>
      <c r="P17" s="374">
        <f t="shared" si="20"/>
        <v>2334.8333333333335</v>
      </c>
      <c r="Q17" s="374">
        <f t="shared" si="19"/>
        <v>2123.5</v>
      </c>
      <c r="R17" s="374">
        <f t="shared" si="18"/>
        <v>1939.3333333333333</v>
      </c>
      <c r="S17" s="374">
        <f t="shared" si="12"/>
        <v>1847.3333333333333</v>
      </c>
      <c r="T17" s="374">
        <v>1829.6666666666667</v>
      </c>
      <c r="U17" s="374"/>
      <c r="V17" s="374" t="str">
        <f t="shared" si="24"/>
        <v>Linear</v>
      </c>
      <c r="W17" s="374">
        <f t="shared" si="23"/>
        <v>-112.90476190476187</v>
      </c>
      <c r="X17" s="374">
        <f t="shared" si="25"/>
        <v>0.93898888391321778</v>
      </c>
      <c r="Y17" s="374">
        <f t="shared" si="26"/>
        <v>0.94777560044340015</v>
      </c>
      <c r="Z17" s="374">
        <f t="shared" si="27"/>
        <v>0.93858699500701159</v>
      </c>
      <c r="AA17" s="375">
        <v>1807</v>
      </c>
      <c r="AB17" s="523">
        <f t="shared" si="13"/>
        <v>1840</v>
      </c>
      <c r="AC17" s="372">
        <v>1792</v>
      </c>
      <c r="AD17" s="372">
        <f t="shared" si="13"/>
        <v>1832</v>
      </c>
      <c r="AE17" s="367">
        <v>1858</v>
      </c>
      <c r="AF17" s="367">
        <f t="shared" si="15"/>
        <v>1901</v>
      </c>
      <c r="AG17" s="367">
        <v>1896</v>
      </c>
      <c r="AH17" s="367">
        <f t="shared" si="16"/>
        <v>1945</v>
      </c>
      <c r="AI17" s="367">
        <v>1972</v>
      </c>
      <c r="AJ17" s="532">
        <f t="shared" si="17"/>
        <v>2015</v>
      </c>
      <c r="AK17" s="375">
        <v>1840</v>
      </c>
      <c r="AL17" s="523">
        <v>1825</v>
      </c>
      <c r="AM17" s="372">
        <v>1832</v>
      </c>
      <c r="AN17" s="372">
        <v>1802</v>
      </c>
      <c r="AO17" s="367">
        <v>1901</v>
      </c>
      <c r="AP17" s="367">
        <v>1852</v>
      </c>
      <c r="AQ17" s="367">
        <v>1945</v>
      </c>
      <c r="AR17" s="367">
        <v>1874</v>
      </c>
      <c r="AS17" s="367">
        <v>2015</v>
      </c>
      <c r="AT17" s="532">
        <v>1915</v>
      </c>
      <c r="AU17" s="375">
        <v>1825</v>
      </c>
      <c r="AV17" s="523">
        <v>1810</v>
      </c>
      <c r="AW17" s="372">
        <v>1802</v>
      </c>
      <c r="AX17" s="372">
        <v>1771</v>
      </c>
      <c r="AY17" s="367">
        <v>1852</v>
      </c>
      <c r="AZ17" s="367">
        <v>1804</v>
      </c>
      <c r="BA17" s="367">
        <v>1874</v>
      </c>
      <c r="BB17" s="367">
        <v>1803</v>
      </c>
      <c r="BC17" s="367">
        <v>1915</v>
      </c>
      <c r="BD17" s="532">
        <v>1816</v>
      </c>
      <c r="BE17" s="375">
        <v>1810</v>
      </c>
      <c r="BF17" s="523">
        <v>1780</v>
      </c>
      <c r="BG17" s="372">
        <v>1771</v>
      </c>
      <c r="BH17" s="372">
        <v>1710</v>
      </c>
      <c r="BI17" s="367">
        <v>1804</v>
      </c>
      <c r="BJ17" s="367">
        <v>1705</v>
      </c>
      <c r="BK17" s="367">
        <v>1803</v>
      </c>
      <c r="BL17" s="367">
        <v>1660</v>
      </c>
      <c r="BM17" s="367">
        <v>1816</v>
      </c>
      <c r="BN17" s="532">
        <v>1622</v>
      </c>
      <c r="BO17" s="375">
        <v>1780</v>
      </c>
      <c r="BP17" s="523">
        <v>1721</v>
      </c>
      <c r="BQ17" s="372">
        <v>1710</v>
      </c>
      <c r="BR17" s="372">
        <v>1589</v>
      </c>
      <c r="BS17" s="367">
        <v>1705</v>
      </c>
      <c r="BT17" s="367">
        <v>1512</v>
      </c>
      <c r="BU17" s="367">
        <v>1660</v>
      </c>
      <c r="BV17" s="367">
        <v>1378</v>
      </c>
      <c r="BW17" s="367">
        <v>1622</v>
      </c>
      <c r="BX17" s="532">
        <v>1228</v>
      </c>
    </row>
    <row r="18" spans="2:76" ht="15.75" x14ac:dyDescent="0.3">
      <c r="B18" s="294" t="s">
        <v>388</v>
      </c>
      <c r="C18" s="294">
        <v>9</v>
      </c>
      <c r="D18" s="368">
        <v>2763.8333333333335</v>
      </c>
      <c r="E18" s="352">
        <v>2729.8333333333335</v>
      </c>
      <c r="F18" s="352">
        <v>2361.8333333333335</v>
      </c>
      <c r="G18" s="369">
        <v>2254.5</v>
      </c>
      <c r="H18" s="365">
        <v>2202.5</v>
      </c>
      <c r="I18" s="363">
        <v>2158.5</v>
      </c>
      <c r="J18" s="376">
        <v>2257</v>
      </c>
      <c r="K18" s="354" t="s">
        <v>457</v>
      </c>
      <c r="L18" s="397">
        <f t="array" ref="L18">AVERAGE((E18:J18-D17:I17)/D17:I17)</f>
        <v>0.11839927170298696</v>
      </c>
      <c r="M18" s="377">
        <v>10</v>
      </c>
      <c r="N18" s="377">
        <f t="shared" si="22"/>
        <v>2400.3333333333335</v>
      </c>
      <c r="O18" s="377">
        <f t="shared" si="21"/>
        <v>2377.1666666666665</v>
      </c>
      <c r="P18" s="377">
        <f t="shared" si="20"/>
        <v>2252.3333333333335</v>
      </c>
      <c r="Q18" s="377">
        <f t="shared" si="19"/>
        <v>2062</v>
      </c>
      <c r="R18" s="377">
        <f t="shared" si="18"/>
        <v>1912.5</v>
      </c>
      <c r="S18" s="377">
        <f t="shared" si="12"/>
        <v>1816.1666666666667</v>
      </c>
      <c r="T18" s="377">
        <v>2257</v>
      </c>
      <c r="U18" s="377"/>
      <c r="V18" s="377" t="str">
        <f t="shared" si="24"/>
        <v>Linear</v>
      </c>
      <c r="W18" s="377">
        <f t="shared" si="23"/>
        <v>-67.565476190476176</v>
      </c>
      <c r="X18" s="377">
        <f t="shared" si="25"/>
        <v>0.41010917719810686</v>
      </c>
      <c r="Y18" s="377">
        <f t="shared" si="26"/>
        <v>0.96883069567715163</v>
      </c>
      <c r="Z18" s="377">
        <f t="shared" si="27"/>
        <v>0.39770747320321326</v>
      </c>
      <c r="AA18" s="378">
        <v>2046</v>
      </c>
      <c r="AB18" s="524">
        <f t="shared" si="13"/>
        <v>2079</v>
      </c>
      <c r="AC18" s="375">
        <v>2058</v>
      </c>
      <c r="AD18" s="375">
        <f t="shared" si="13"/>
        <v>2098</v>
      </c>
      <c r="AE18" s="372">
        <v>2049</v>
      </c>
      <c r="AF18" s="372">
        <f t="shared" si="15"/>
        <v>2092</v>
      </c>
      <c r="AG18" s="367">
        <v>2126</v>
      </c>
      <c r="AH18" s="367">
        <f t="shared" si="16"/>
        <v>2175</v>
      </c>
      <c r="AI18" s="367">
        <v>2175</v>
      </c>
      <c r="AJ18" s="532">
        <f t="shared" si="17"/>
        <v>2218</v>
      </c>
      <c r="AK18" s="378">
        <v>2079</v>
      </c>
      <c r="AL18" s="524">
        <v>2064</v>
      </c>
      <c r="AM18" s="375">
        <v>2098</v>
      </c>
      <c r="AN18" s="375">
        <v>2065</v>
      </c>
      <c r="AO18" s="372">
        <v>2092</v>
      </c>
      <c r="AP18" s="372">
        <v>2040</v>
      </c>
      <c r="AQ18" s="367">
        <v>2175</v>
      </c>
      <c r="AR18" s="367">
        <v>2100</v>
      </c>
      <c r="AS18" s="367">
        <v>2218</v>
      </c>
      <c r="AT18" s="532">
        <v>2115</v>
      </c>
      <c r="AU18" s="378">
        <v>2064</v>
      </c>
      <c r="AV18" s="524">
        <v>2049</v>
      </c>
      <c r="AW18" s="375">
        <v>2065</v>
      </c>
      <c r="AX18" s="375">
        <v>2031</v>
      </c>
      <c r="AY18" s="372">
        <v>2040</v>
      </c>
      <c r="AZ18" s="372">
        <v>1986</v>
      </c>
      <c r="BA18" s="367">
        <v>2100</v>
      </c>
      <c r="BB18" s="367">
        <v>2025</v>
      </c>
      <c r="BC18" s="367">
        <v>2115</v>
      </c>
      <c r="BD18" s="532">
        <v>2012</v>
      </c>
      <c r="BE18" s="378">
        <v>2049</v>
      </c>
      <c r="BF18" s="524">
        <v>2019</v>
      </c>
      <c r="BG18" s="375">
        <v>2031</v>
      </c>
      <c r="BH18" s="375">
        <v>1964</v>
      </c>
      <c r="BI18" s="372">
        <v>1986</v>
      </c>
      <c r="BJ18" s="372">
        <v>1881</v>
      </c>
      <c r="BK18" s="367">
        <v>2025</v>
      </c>
      <c r="BL18" s="367">
        <v>1872</v>
      </c>
      <c r="BM18" s="367">
        <v>2012</v>
      </c>
      <c r="BN18" s="532">
        <v>1805</v>
      </c>
      <c r="BO18" s="378">
        <v>2019</v>
      </c>
      <c r="BP18" s="524">
        <v>1960</v>
      </c>
      <c r="BQ18" s="375">
        <v>1964</v>
      </c>
      <c r="BR18" s="375">
        <v>1831</v>
      </c>
      <c r="BS18" s="372">
        <v>1881</v>
      </c>
      <c r="BT18" s="372">
        <v>1671</v>
      </c>
      <c r="BU18" s="367">
        <v>1872</v>
      </c>
      <c r="BV18" s="367">
        <v>1573</v>
      </c>
      <c r="BW18" s="367">
        <v>1805</v>
      </c>
      <c r="BX18" s="532">
        <v>1394</v>
      </c>
    </row>
    <row r="19" spans="2:76" ht="15.75" x14ac:dyDescent="0.3">
      <c r="B19" s="294" t="s">
        <v>389</v>
      </c>
      <c r="C19" s="294">
        <v>10</v>
      </c>
      <c r="D19" s="368">
        <v>2631.6666666666665</v>
      </c>
      <c r="E19" s="352">
        <v>2647.1666666666665</v>
      </c>
      <c r="F19" s="352">
        <v>2352.3333333333335</v>
      </c>
      <c r="G19" s="352">
        <v>2170.6666666666665</v>
      </c>
      <c r="H19" s="369">
        <v>2078.5</v>
      </c>
      <c r="I19" s="365">
        <v>2055.8333333333335</v>
      </c>
      <c r="J19" s="379">
        <v>2075.5</v>
      </c>
      <c r="K19" s="354" t="s">
        <v>458</v>
      </c>
      <c r="L19" s="397">
        <f t="array" ref="L19">AVERAGE((E19:J19-D18:I18)/D18:I18)</f>
        <v>-7.4091399416579162E-2</v>
      </c>
      <c r="M19" s="380">
        <v>11</v>
      </c>
      <c r="N19" s="380">
        <f t="shared" si="22"/>
        <v>2383</v>
      </c>
      <c r="O19" s="380">
        <f t="shared" si="21"/>
        <v>2310.5</v>
      </c>
      <c r="P19" s="380">
        <f t="shared" si="20"/>
        <v>2185.5</v>
      </c>
      <c r="Q19" s="380">
        <f t="shared" si="19"/>
        <v>2017</v>
      </c>
      <c r="R19" s="380">
        <f t="shared" si="18"/>
        <v>1917</v>
      </c>
      <c r="S19" s="380">
        <f t="shared" si="12"/>
        <v>2158.5</v>
      </c>
      <c r="T19" s="380">
        <v>2075.5</v>
      </c>
      <c r="U19" s="380"/>
      <c r="V19" s="380" t="str">
        <f t="shared" si="24"/>
        <v>Linear</v>
      </c>
      <c r="W19" s="380">
        <f t="shared" si="23"/>
        <v>-53.392857142857139</v>
      </c>
      <c r="X19" s="380">
        <f t="shared" si="25"/>
        <v>0.50231557021506523</v>
      </c>
      <c r="Y19" s="380">
        <f t="shared" si="26"/>
        <v>0.97594900746640389</v>
      </c>
      <c r="Z19" s="380">
        <f t="shared" si="27"/>
        <v>0.4812438231593637</v>
      </c>
      <c r="AA19" s="381">
        <v>2090</v>
      </c>
      <c r="AB19" s="525">
        <f t="shared" si="13"/>
        <v>2123</v>
      </c>
      <c r="AC19" s="378">
        <v>1925</v>
      </c>
      <c r="AD19" s="378">
        <f t="shared" si="13"/>
        <v>1965</v>
      </c>
      <c r="AE19" s="375">
        <v>1943</v>
      </c>
      <c r="AF19" s="375">
        <f t="shared" si="15"/>
        <v>1986</v>
      </c>
      <c r="AG19" s="372">
        <v>1937</v>
      </c>
      <c r="AH19" s="372">
        <f t="shared" si="16"/>
        <v>1986</v>
      </c>
      <c r="AI19" s="367">
        <v>2014</v>
      </c>
      <c r="AJ19" s="532">
        <f t="shared" si="17"/>
        <v>2057</v>
      </c>
      <c r="AK19" s="381">
        <v>2123</v>
      </c>
      <c r="AL19" s="525">
        <v>2108</v>
      </c>
      <c r="AM19" s="378">
        <v>1965</v>
      </c>
      <c r="AN19" s="378">
        <v>1936</v>
      </c>
      <c r="AO19" s="375">
        <v>1986</v>
      </c>
      <c r="AP19" s="375">
        <v>1940</v>
      </c>
      <c r="AQ19" s="372">
        <v>1986</v>
      </c>
      <c r="AR19" s="372">
        <v>1922</v>
      </c>
      <c r="AS19" s="367">
        <v>2057</v>
      </c>
      <c r="AT19" s="532">
        <v>1971</v>
      </c>
      <c r="AU19" s="381">
        <v>2108</v>
      </c>
      <c r="AV19" s="525">
        <v>2093</v>
      </c>
      <c r="AW19" s="378">
        <v>1936</v>
      </c>
      <c r="AX19" s="378">
        <v>1907</v>
      </c>
      <c r="AY19" s="375">
        <v>1940</v>
      </c>
      <c r="AZ19" s="375">
        <v>1893</v>
      </c>
      <c r="BA19" s="372">
        <v>1922</v>
      </c>
      <c r="BB19" s="372">
        <v>1856</v>
      </c>
      <c r="BC19" s="367">
        <v>1971</v>
      </c>
      <c r="BD19" s="532">
        <v>1886</v>
      </c>
      <c r="BE19" s="381">
        <v>2093</v>
      </c>
      <c r="BF19" s="525">
        <v>2063</v>
      </c>
      <c r="BG19" s="378">
        <v>1907</v>
      </c>
      <c r="BH19" s="378">
        <v>1849</v>
      </c>
      <c r="BI19" s="375">
        <v>1893</v>
      </c>
      <c r="BJ19" s="375">
        <v>1800</v>
      </c>
      <c r="BK19" s="372">
        <v>1856</v>
      </c>
      <c r="BL19" s="372">
        <v>1726</v>
      </c>
      <c r="BM19" s="367">
        <v>1886</v>
      </c>
      <c r="BN19" s="532">
        <v>1711</v>
      </c>
      <c r="BO19" s="381">
        <v>2063</v>
      </c>
      <c r="BP19" s="525">
        <v>2004</v>
      </c>
      <c r="BQ19" s="378">
        <v>1849</v>
      </c>
      <c r="BR19" s="378">
        <v>1734</v>
      </c>
      <c r="BS19" s="375">
        <v>1800</v>
      </c>
      <c r="BT19" s="375">
        <v>1614</v>
      </c>
      <c r="BU19" s="372">
        <v>1726</v>
      </c>
      <c r="BV19" s="372">
        <v>1469</v>
      </c>
      <c r="BW19" s="367">
        <v>1711</v>
      </c>
      <c r="BX19" s="532">
        <v>1368</v>
      </c>
    </row>
    <row r="20" spans="2:76" ht="15.75" x14ac:dyDescent="0.3">
      <c r="B20" s="294" t="s">
        <v>390</v>
      </c>
      <c r="C20" s="294">
        <v>11</v>
      </c>
      <c r="D20" s="368">
        <v>2317.6666666666665</v>
      </c>
      <c r="E20" s="352">
        <v>2378.8333333333335</v>
      </c>
      <c r="F20" s="352">
        <v>2078.6666666666665</v>
      </c>
      <c r="G20" s="352">
        <v>2045.3333333333333</v>
      </c>
      <c r="H20" s="352">
        <v>1969.3333333333333</v>
      </c>
      <c r="I20" s="369">
        <v>1919.6666666666667</v>
      </c>
      <c r="J20" s="382">
        <v>1874.1666666666667</v>
      </c>
      <c r="K20" s="354" t="s">
        <v>459</v>
      </c>
      <c r="L20" s="397">
        <f t="array" ref="L20">AVERAGE((E20:J20-D19:I19)/D19:I19)</f>
        <v>-0.11647927734457315</v>
      </c>
      <c r="M20" s="383">
        <v>12</v>
      </c>
      <c r="N20" s="383">
        <f t="shared" si="22"/>
        <v>2382.6666666666665</v>
      </c>
      <c r="O20" s="383">
        <f t="shared" si="21"/>
        <v>2318.5</v>
      </c>
      <c r="P20" s="383">
        <f t="shared" si="20"/>
        <v>2168.8333333333335</v>
      </c>
      <c r="Q20" s="383">
        <f t="shared" si="19"/>
        <v>2028.8333333333333</v>
      </c>
      <c r="R20" s="383">
        <f t="shared" si="18"/>
        <v>2202.5</v>
      </c>
      <c r="S20" s="383">
        <f t="shared" si="12"/>
        <v>2055.8333333333335</v>
      </c>
      <c r="T20" s="383">
        <v>1874.1666666666667</v>
      </c>
      <c r="U20" s="383"/>
      <c r="V20" s="383" t="str">
        <f t="shared" si="24"/>
        <v>Linear</v>
      </c>
      <c r="W20" s="383">
        <f t="shared" si="23"/>
        <v>-72.041666666666629</v>
      </c>
      <c r="X20" s="383">
        <f t="shared" si="25"/>
        <v>0.78458099664692937</v>
      </c>
      <c r="Y20" s="383">
        <f t="shared" si="26"/>
        <v>0.96680478114894242</v>
      </c>
      <c r="Z20" s="383">
        <f t="shared" si="27"/>
        <v>0.77807494053788795</v>
      </c>
      <c r="AA20" s="384">
        <v>1834</v>
      </c>
      <c r="AB20" s="526">
        <f t="shared" si="13"/>
        <v>1866</v>
      </c>
      <c r="AC20" s="381">
        <v>1876</v>
      </c>
      <c r="AD20" s="381">
        <f t="shared" si="13"/>
        <v>1916</v>
      </c>
      <c r="AE20" s="378">
        <v>1736</v>
      </c>
      <c r="AF20" s="378">
        <f t="shared" si="15"/>
        <v>1779</v>
      </c>
      <c r="AG20" s="375">
        <v>1755</v>
      </c>
      <c r="AH20" s="375">
        <f t="shared" si="16"/>
        <v>1804</v>
      </c>
      <c r="AI20" s="372">
        <v>1755</v>
      </c>
      <c r="AJ20" s="533">
        <f t="shared" si="17"/>
        <v>1798</v>
      </c>
      <c r="AK20" s="384">
        <v>1866</v>
      </c>
      <c r="AL20" s="526">
        <v>1851</v>
      </c>
      <c r="AM20" s="381">
        <v>1916</v>
      </c>
      <c r="AN20" s="381">
        <v>1887</v>
      </c>
      <c r="AO20" s="378">
        <v>1779</v>
      </c>
      <c r="AP20" s="378">
        <v>1737</v>
      </c>
      <c r="AQ20" s="375">
        <v>1804</v>
      </c>
      <c r="AR20" s="375">
        <v>1745</v>
      </c>
      <c r="AS20" s="372">
        <v>1798</v>
      </c>
      <c r="AT20" s="533">
        <v>1722</v>
      </c>
      <c r="AU20" s="384">
        <v>1851</v>
      </c>
      <c r="AV20" s="526">
        <v>1836</v>
      </c>
      <c r="AW20" s="381">
        <v>1887</v>
      </c>
      <c r="AX20" s="381">
        <v>1858</v>
      </c>
      <c r="AY20" s="378">
        <v>1737</v>
      </c>
      <c r="AZ20" s="378">
        <v>1695</v>
      </c>
      <c r="BA20" s="375">
        <v>1745</v>
      </c>
      <c r="BB20" s="375">
        <v>1687</v>
      </c>
      <c r="BC20" s="372">
        <v>1722</v>
      </c>
      <c r="BD20" s="533">
        <v>1644</v>
      </c>
      <c r="BE20" s="384">
        <v>1836</v>
      </c>
      <c r="BF20" s="526">
        <v>1806</v>
      </c>
      <c r="BG20" s="381">
        <v>1858</v>
      </c>
      <c r="BH20" s="381">
        <v>1799</v>
      </c>
      <c r="BI20" s="378">
        <v>1695</v>
      </c>
      <c r="BJ20" s="378">
        <v>1609</v>
      </c>
      <c r="BK20" s="375">
        <v>1687</v>
      </c>
      <c r="BL20" s="375">
        <v>1567</v>
      </c>
      <c r="BM20" s="372">
        <v>1644</v>
      </c>
      <c r="BN20" s="533">
        <v>1491</v>
      </c>
      <c r="BO20" s="384">
        <v>1806</v>
      </c>
      <c r="BP20" s="526">
        <v>1747</v>
      </c>
      <c r="BQ20" s="381">
        <v>1799</v>
      </c>
      <c r="BR20" s="381">
        <v>1683</v>
      </c>
      <c r="BS20" s="378">
        <v>1609</v>
      </c>
      <c r="BT20" s="378">
        <v>1441</v>
      </c>
      <c r="BU20" s="375">
        <v>1567</v>
      </c>
      <c r="BV20" s="375">
        <v>1331</v>
      </c>
      <c r="BW20" s="372">
        <v>1491</v>
      </c>
      <c r="BX20" s="533">
        <v>1187</v>
      </c>
    </row>
    <row r="21" spans="2:76" ht="16.5" thickBot="1" x14ac:dyDescent="0.35">
      <c r="B21" s="294" t="s">
        <v>391</v>
      </c>
      <c r="C21" s="294">
        <v>12</v>
      </c>
      <c r="D21" s="385">
        <v>2209.6666666666665</v>
      </c>
      <c r="E21" s="386">
        <v>2268.1666666666665</v>
      </c>
      <c r="F21" s="386">
        <v>2027.1666666666667</v>
      </c>
      <c r="G21" s="386">
        <v>1861.1666666666667</v>
      </c>
      <c r="H21" s="386">
        <v>1887.5</v>
      </c>
      <c r="I21" s="386">
        <v>1764.8333333333333</v>
      </c>
      <c r="J21" s="387">
        <v>1655</v>
      </c>
      <c r="K21" s="388" t="s">
        <v>460</v>
      </c>
      <c r="L21" s="398">
        <f t="array" ref="L21">AVERAGE((E21:J21-D20:I20)/D20:I20)</f>
        <v>-9.8784096713470479E-2</v>
      </c>
      <c r="M21" s="389">
        <v>13</v>
      </c>
      <c r="N21" s="389">
        <f t="shared" si="22"/>
        <v>2317.1666666666665</v>
      </c>
      <c r="O21" s="389">
        <f t="shared" si="21"/>
        <v>2260.5</v>
      </c>
      <c r="P21" s="389">
        <f t="shared" si="20"/>
        <v>2186</v>
      </c>
      <c r="Q21" s="389">
        <f t="shared" si="19"/>
        <v>2254.5</v>
      </c>
      <c r="R21" s="389">
        <f t="shared" si="18"/>
        <v>2078.5</v>
      </c>
      <c r="S21" s="389">
        <f t="shared" si="12"/>
        <v>1919.6666666666667</v>
      </c>
      <c r="T21" s="389">
        <v>1655</v>
      </c>
      <c r="U21" s="389"/>
      <c r="V21" s="389" t="str">
        <f t="shared" si="24"/>
        <v>Linear</v>
      </c>
      <c r="W21" s="389">
        <f t="shared" si="23"/>
        <v>-99.130952380952351</v>
      </c>
      <c r="X21" s="389">
        <f t="shared" si="25"/>
        <v>0.82116588835107374</v>
      </c>
      <c r="Y21" s="389">
        <f t="shared" si="26"/>
        <v>0.95167360473135387</v>
      </c>
      <c r="Z21" s="389">
        <f t="shared" si="27"/>
        <v>0.79694801573459184</v>
      </c>
      <c r="AA21" s="390">
        <v>1689</v>
      </c>
      <c r="AB21" s="527">
        <f t="shared" si="13"/>
        <v>1721</v>
      </c>
      <c r="AC21" s="528">
        <v>1682</v>
      </c>
      <c r="AD21" s="528">
        <f t="shared" si="13"/>
        <v>1722</v>
      </c>
      <c r="AE21" s="529">
        <v>1727</v>
      </c>
      <c r="AF21" s="529">
        <f t="shared" si="15"/>
        <v>1770</v>
      </c>
      <c r="AG21" s="530">
        <v>1603</v>
      </c>
      <c r="AH21" s="530">
        <f t="shared" si="16"/>
        <v>1652</v>
      </c>
      <c r="AI21" s="391">
        <v>1626</v>
      </c>
      <c r="AJ21" s="534">
        <f t="shared" si="17"/>
        <v>1669</v>
      </c>
      <c r="AK21" s="392">
        <v>1721</v>
      </c>
      <c r="AL21" s="527">
        <v>1706</v>
      </c>
      <c r="AM21" s="528">
        <v>1722</v>
      </c>
      <c r="AN21" s="528">
        <v>1692</v>
      </c>
      <c r="AO21" s="529">
        <v>1770</v>
      </c>
      <c r="AP21" s="529">
        <v>1725</v>
      </c>
      <c r="AQ21" s="530">
        <v>1652</v>
      </c>
      <c r="AR21" s="530">
        <v>1594</v>
      </c>
      <c r="AS21" s="391">
        <v>1669</v>
      </c>
      <c r="AT21" s="534">
        <v>1593</v>
      </c>
      <c r="AU21" s="392">
        <v>1706</v>
      </c>
      <c r="AV21" s="527">
        <v>1691</v>
      </c>
      <c r="AW21" s="528">
        <v>1692</v>
      </c>
      <c r="AX21" s="528">
        <v>1662</v>
      </c>
      <c r="AY21" s="529">
        <v>1725</v>
      </c>
      <c r="AZ21" s="529">
        <v>1680</v>
      </c>
      <c r="BA21" s="530">
        <v>1594</v>
      </c>
      <c r="BB21" s="530">
        <v>1535</v>
      </c>
      <c r="BC21" s="391">
        <v>1593</v>
      </c>
      <c r="BD21" s="534">
        <v>1519</v>
      </c>
      <c r="BE21" s="392">
        <v>1691</v>
      </c>
      <c r="BF21" s="527">
        <v>1661</v>
      </c>
      <c r="BG21" s="528">
        <v>1662</v>
      </c>
      <c r="BH21" s="528">
        <v>1600</v>
      </c>
      <c r="BI21" s="529">
        <v>1680</v>
      </c>
      <c r="BJ21" s="529">
        <v>1588</v>
      </c>
      <c r="BK21" s="530">
        <v>1535</v>
      </c>
      <c r="BL21" s="530">
        <v>1417</v>
      </c>
      <c r="BM21" s="391">
        <v>1519</v>
      </c>
      <c r="BN21" s="534">
        <v>1364</v>
      </c>
      <c r="BO21" s="392">
        <v>1661</v>
      </c>
      <c r="BP21" s="527">
        <v>1602</v>
      </c>
      <c r="BQ21" s="528">
        <v>1600</v>
      </c>
      <c r="BR21" s="528">
        <v>1480</v>
      </c>
      <c r="BS21" s="529">
        <v>1588</v>
      </c>
      <c r="BT21" s="529">
        <v>1409</v>
      </c>
      <c r="BU21" s="530">
        <v>1417</v>
      </c>
      <c r="BV21" s="530">
        <v>1184</v>
      </c>
      <c r="BW21" s="391">
        <v>1364</v>
      </c>
      <c r="BX21" s="534">
        <v>1062</v>
      </c>
    </row>
    <row r="22" spans="2:76" x14ac:dyDescent="0.25">
      <c r="B22" s="319" t="s">
        <v>475</v>
      </c>
      <c r="C22" s="319"/>
      <c r="D22" s="331" t="s">
        <v>528</v>
      </c>
      <c r="H22" s="573" t="s">
        <v>470</v>
      </c>
      <c r="I22" s="573"/>
      <c r="J22" s="307">
        <f>(J26/(J26+J7))</f>
        <v>0.30364362055586758</v>
      </c>
      <c r="K22" s="308"/>
      <c r="L22" s="308"/>
      <c r="M22" s="308"/>
      <c r="N22" s="308"/>
      <c r="O22" s="308"/>
      <c r="P22" s="308"/>
      <c r="Q22" s="308"/>
      <c r="R22" s="308"/>
      <c r="S22" s="308"/>
      <c r="T22" s="308"/>
      <c r="U22" s="308"/>
      <c r="V22" s="308"/>
      <c r="W22" s="308"/>
      <c r="X22" s="308"/>
      <c r="Y22" s="308"/>
      <c r="Z22" s="308"/>
      <c r="AA22" s="307">
        <f>$J22</f>
        <v>0.30364362055586758</v>
      </c>
      <c r="AB22" s="307">
        <f>$J22</f>
        <v>0.30364362055586758</v>
      </c>
      <c r="AC22" s="307">
        <f t="shared" ref="AC22:AJ22" si="28">$J22</f>
        <v>0.30364362055586758</v>
      </c>
      <c r="AD22" s="307">
        <f t="shared" si="28"/>
        <v>0.30364362055586758</v>
      </c>
      <c r="AE22" s="307">
        <f t="shared" si="28"/>
        <v>0.30364362055586758</v>
      </c>
      <c r="AF22" s="307">
        <f t="shared" si="28"/>
        <v>0.30364362055586758</v>
      </c>
      <c r="AG22" s="307">
        <f t="shared" si="28"/>
        <v>0.30364362055586758</v>
      </c>
      <c r="AH22" s="307">
        <f t="shared" si="28"/>
        <v>0.30364362055586758</v>
      </c>
      <c r="AI22" s="307">
        <f t="shared" si="28"/>
        <v>0.30364362055586758</v>
      </c>
      <c r="AJ22" s="307">
        <f t="shared" si="28"/>
        <v>0.30364362055586758</v>
      </c>
      <c r="AK22" s="307">
        <f>$J22+'Enrollment &amp; Staffing'!$L6*AL4</f>
        <v>0.30864362055586758</v>
      </c>
      <c r="AL22" s="307">
        <f>$J22+'Enrollment &amp; Staffing'!$L6*AL4</f>
        <v>0.30864362055586758</v>
      </c>
      <c r="AM22" s="307">
        <f>$J22+'Enrollment &amp; Staffing'!$L6*AN4</f>
        <v>0.31364362055586759</v>
      </c>
      <c r="AN22" s="307">
        <f>$J22+'Enrollment &amp; Staffing'!$L6*AN4</f>
        <v>0.31364362055586759</v>
      </c>
      <c r="AO22" s="307">
        <f>$J22+'Enrollment &amp; Staffing'!$L6*AP4</f>
        <v>0.31864362055586759</v>
      </c>
      <c r="AP22" s="307">
        <f>$J22+'Enrollment &amp; Staffing'!$L6*AP4</f>
        <v>0.31864362055586759</v>
      </c>
      <c r="AQ22" s="307">
        <f>$J22+'Enrollment &amp; Staffing'!$L6*AR4</f>
        <v>0.32364362055586759</v>
      </c>
      <c r="AR22" s="307">
        <f>$J22+'Enrollment &amp; Staffing'!$L6*AR4</f>
        <v>0.32364362055586759</v>
      </c>
      <c r="AS22" s="307">
        <f>$J22+'Enrollment &amp; Staffing'!$L6*AT4</f>
        <v>0.3286436205558676</v>
      </c>
      <c r="AT22" s="307">
        <f>$J22+'Enrollment &amp; Staffing'!$L6*AT4</f>
        <v>0.3286436205558676</v>
      </c>
      <c r="AU22" s="307">
        <f>$J22+'Enrollment &amp; Staffing'!$R6*AV4</f>
        <v>0.31364362055586759</v>
      </c>
      <c r="AV22" s="307">
        <f>$J22+'Enrollment &amp; Staffing'!$R6*AV4</f>
        <v>0.31364362055586759</v>
      </c>
      <c r="AW22" s="307">
        <f>$J22+'Enrollment &amp; Staffing'!$R6*AX4</f>
        <v>0.32364362055586759</v>
      </c>
      <c r="AX22" s="307">
        <f>$J22+'Enrollment &amp; Staffing'!$R6*AX4</f>
        <v>0.32364362055586759</v>
      </c>
      <c r="AY22" s="307">
        <f>$J22+'Enrollment &amp; Staffing'!$R6*AZ4</f>
        <v>0.3336436205558676</v>
      </c>
      <c r="AZ22" s="307">
        <f>$J22+'Enrollment &amp; Staffing'!$R6*AZ4</f>
        <v>0.3336436205558676</v>
      </c>
      <c r="BA22" s="307">
        <f>$J22+'Enrollment &amp; Staffing'!$R6*BB4</f>
        <v>0.34364362055586756</v>
      </c>
      <c r="BB22" s="307">
        <f>$J22+'Enrollment &amp; Staffing'!$R6*BB4</f>
        <v>0.34364362055586756</v>
      </c>
      <c r="BC22" s="307">
        <f>$J22+'Enrollment &amp; Staffing'!$R6*BD4</f>
        <v>0.35364362055586757</v>
      </c>
      <c r="BD22" s="307">
        <f>$J22+'Enrollment &amp; Staffing'!$R6*BD4</f>
        <v>0.35364362055586757</v>
      </c>
      <c r="BE22" s="307">
        <f>$J22+'Enrollment &amp; Staffing'!$X6*BF4</f>
        <v>0.32364362055586759</v>
      </c>
      <c r="BF22" s="307">
        <f>$J22+'Enrollment &amp; Staffing'!$X6*BF4</f>
        <v>0.32364362055586759</v>
      </c>
      <c r="BG22" s="307">
        <f>$J22+'Enrollment &amp; Staffing'!$X6*BH4</f>
        <v>0.34364362055586756</v>
      </c>
      <c r="BH22" s="307">
        <f>$J22+'Enrollment &amp; Staffing'!$X6*BH4</f>
        <v>0.34364362055586756</v>
      </c>
      <c r="BI22" s="307">
        <f>$J22+'Enrollment &amp; Staffing'!$X6*BJ4</f>
        <v>0.36364362055586757</v>
      </c>
      <c r="BJ22" s="307">
        <f>$J22+'Enrollment &amp; Staffing'!$X6*BJ4</f>
        <v>0.36364362055586757</v>
      </c>
      <c r="BK22" s="307">
        <f>$J22+'Enrollment &amp; Staffing'!$X6*BL4</f>
        <v>0.38364362055586759</v>
      </c>
      <c r="BL22" s="307">
        <f>$J22+'Enrollment &amp; Staffing'!$X6*BL4</f>
        <v>0.38364362055586759</v>
      </c>
      <c r="BM22" s="307">
        <f>$J22+'Enrollment &amp; Staffing'!$X6*BN4</f>
        <v>0.40364362055586755</v>
      </c>
      <c r="BN22" s="307">
        <f>$J22+'Enrollment &amp; Staffing'!$X6*BN4</f>
        <v>0.40364362055586755</v>
      </c>
      <c r="BO22" s="307">
        <f>$J22+'Enrollment &amp; Staffing'!$AD6*BP4</f>
        <v>0.34364362055586756</v>
      </c>
      <c r="BP22" s="307">
        <f>$J22+'Enrollment &amp; Staffing'!$AD6*BP4</f>
        <v>0.34364362055586756</v>
      </c>
      <c r="BQ22" s="307">
        <f>$J22+'Enrollment &amp; Staffing'!$AD6*BR4</f>
        <v>0.38364362055586759</v>
      </c>
      <c r="BR22" s="307">
        <f>$J22+'Enrollment &amp; Staffing'!$AD6*BR4</f>
        <v>0.38364362055586759</v>
      </c>
      <c r="BS22" s="307">
        <f>$J22+'Enrollment &amp; Staffing'!$AD6*BT4</f>
        <v>0.42364362055586757</v>
      </c>
      <c r="BT22" s="307">
        <f>$J22+'Enrollment &amp; Staffing'!$AD6*BT4</f>
        <v>0.42364362055586757</v>
      </c>
      <c r="BU22" s="307">
        <f>$J22+'Enrollment &amp; Staffing'!$AD6*BV4</f>
        <v>0.46364362055586761</v>
      </c>
      <c r="BV22" s="307">
        <f>$J22+'Enrollment &amp; Staffing'!$AD6*BV4</f>
        <v>0.46364362055586761</v>
      </c>
      <c r="BW22" s="307">
        <f>$J22+'Enrollment &amp; Staffing'!$AD6*BX4</f>
        <v>0.50364362055586764</v>
      </c>
      <c r="BX22" s="307">
        <f>$J22+'Enrollment &amp; Staffing'!$AD6*BX4</f>
        <v>0.50364362055586764</v>
      </c>
    </row>
    <row r="23" spans="2:76" ht="15" hidden="1" customHeight="1" x14ac:dyDescent="0.25">
      <c r="H23" s="318"/>
      <c r="I23" s="318"/>
      <c r="J23" s="307"/>
      <c r="K23" s="308"/>
      <c r="L23" s="308"/>
      <c r="M23" s="308"/>
      <c r="N23" s="308"/>
      <c r="O23" s="308"/>
      <c r="P23" s="308"/>
      <c r="Q23" s="308"/>
      <c r="R23" s="308"/>
      <c r="S23" s="308"/>
      <c r="T23" s="308"/>
      <c r="U23" s="308"/>
      <c r="V23" s="308"/>
      <c r="W23" s="308"/>
      <c r="X23" s="308"/>
      <c r="Y23" s="308"/>
      <c r="Z23" s="308"/>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row>
    <row r="24" spans="2:76" ht="15" hidden="1" customHeight="1" x14ac:dyDescent="0.25">
      <c r="B24" s="319"/>
      <c r="C24" s="319"/>
      <c r="D24" s="309"/>
      <c r="H24" s="318"/>
      <c r="I24" s="318"/>
      <c r="J24" s="307"/>
      <c r="K24" s="308"/>
      <c r="L24" s="308"/>
      <c r="M24" s="308"/>
      <c r="N24" s="308"/>
      <c r="O24" s="308"/>
      <c r="P24" s="308"/>
      <c r="Q24" s="308"/>
      <c r="R24" s="308"/>
      <c r="S24" s="308"/>
      <c r="T24" s="308"/>
      <c r="U24" s="308"/>
      <c r="V24" s="308"/>
      <c r="W24" s="308"/>
      <c r="X24" s="308"/>
      <c r="Y24" s="308"/>
      <c r="Z24" s="308"/>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row>
    <row r="25" spans="2:76" ht="15" hidden="1" customHeight="1" x14ac:dyDescent="0.25">
      <c r="B25" s="319"/>
      <c r="C25" s="319"/>
      <c r="D25" s="309"/>
      <c r="H25" s="318"/>
      <c r="I25" s="318"/>
      <c r="J25" s="307"/>
      <c r="K25" s="308"/>
      <c r="L25" s="308"/>
      <c r="M25" s="308"/>
      <c r="N25" s="308"/>
      <c r="O25" s="308"/>
      <c r="P25" s="308"/>
      <c r="Q25" s="308"/>
      <c r="R25" s="308"/>
      <c r="S25" s="308"/>
      <c r="T25" s="308"/>
      <c r="U25" s="308"/>
      <c r="V25" s="308"/>
      <c r="W25" s="308"/>
      <c r="X25" s="308"/>
      <c r="Y25" s="308"/>
      <c r="Z25" s="308"/>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row>
    <row r="26" spans="2:76" ht="16.5" thickBot="1" x14ac:dyDescent="0.35">
      <c r="B26" s="70" t="s">
        <v>412</v>
      </c>
      <c r="C26" s="70"/>
      <c r="D26" s="335">
        <f t="shared" ref="D26:H26" si="29">SUM(D28:D40)</f>
        <v>6019.5</v>
      </c>
      <c r="E26" s="335">
        <f t="shared" si="29"/>
        <v>7456.666666666667</v>
      </c>
      <c r="F26" s="335">
        <f t="shared" si="29"/>
        <v>8726.3333333333339</v>
      </c>
      <c r="G26" s="335">
        <f t="shared" si="29"/>
        <v>8816.1666666666661</v>
      </c>
      <c r="H26" s="335">
        <f t="shared" si="29"/>
        <v>11292.5</v>
      </c>
      <c r="I26" s="335">
        <f>SUM(I28:I40)</f>
        <v>11501.666666666668</v>
      </c>
      <c r="J26" s="335">
        <f>SUM(J28:J40)</f>
        <v>11804.500000000002</v>
      </c>
      <c r="K26" s="335"/>
      <c r="L26" s="335"/>
      <c r="M26" s="335"/>
      <c r="N26" s="335"/>
      <c r="O26" s="335"/>
      <c r="P26" s="335"/>
      <c r="Q26" s="335"/>
      <c r="R26" s="335"/>
      <c r="S26" s="335"/>
      <c r="T26" s="335"/>
      <c r="U26" s="335"/>
      <c r="V26" s="335"/>
      <c r="W26" s="335"/>
      <c r="X26" s="335"/>
      <c r="Y26" s="335"/>
      <c r="Z26" s="335"/>
      <c r="AA26" s="335">
        <f>AA5-AA7</f>
        <v>11804</v>
      </c>
      <c r="AB26" s="335">
        <f>ROUND(AB5*AB22,0)</f>
        <v>11804</v>
      </c>
      <c r="AC26" s="335">
        <f>AC5-AC7</f>
        <v>11804</v>
      </c>
      <c r="AD26" s="335">
        <f>ROUND(AD5*AD22,0)</f>
        <v>11804</v>
      </c>
      <c r="AE26" s="335">
        <f>AE5-AE7</f>
        <v>11804</v>
      </c>
      <c r="AF26" s="335">
        <f>ROUND(AF5*AF22,0)</f>
        <v>11804</v>
      </c>
      <c r="AG26" s="335">
        <f>AG5-AG7</f>
        <v>11804</v>
      </c>
      <c r="AH26" s="335">
        <f>ROUND(AH5*AH22,0)</f>
        <v>11804</v>
      </c>
      <c r="AI26" s="335">
        <f>AI5-AI7</f>
        <v>11804</v>
      </c>
      <c r="AJ26" s="335">
        <f>ROUND(AJ5*AJ22,0)</f>
        <v>11804</v>
      </c>
      <c r="AK26" s="335">
        <f>AK5-AK7</f>
        <v>11999</v>
      </c>
      <c r="AL26" s="335">
        <f>ROUND(AL5*AL22,0)</f>
        <v>11999</v>
      </c>
      <c r="AM26" s="335">
        <f>AM5-AM7</f>
        <v>12193</v>
      </c>
      <c r="AN26" s="335">
        <f>ROUND(AN5*AN22,0)</f>
        <v>12193</v>
      </c>
      <c r="AO26" s="335">
        <f>AO5-AO7</f>
        <v>12388</v>
      </c>
      <c r="AP26" s="335">
        <f>ROUND(AP5*AP22,0)</f>
        <v>12388</v>
      </c>
      <c r="AQ26" s="335">
        <f>AQ5-AQ7</f>
        <v>12582</v>
      </c>
      <c r="AR26" s="335">
        <f>ROUND(AR5*AR22,0)</f>
        <v>12582</v>
      </c>
      <c r="AS26" s="335">
        <f>AS5-AS7</f>
        <v>12776</v>
      </c>
      <c r="AT26" s="335">
        <f>ROUND(AT5*AT22,0)</f>
        <v>12776</v>
      </c>
      <c r="AU26" s="335">
        <f>AU5-AU7</f>
        <v>12193</v>
      </c>
      <c r="AV26" s="335">
        <f>ROUND(AV5*AV22,0)</f>
        <v>12193</v>
      </c>
      <c r="AW26" s="335">
        <f>AW5-AW7</f>
        <v>12582</v>
      </c>
      <c r="AX26" s="335">
        <f>ROUND(AX5*AX22,0)</f>
        <v>12582</v>
      </c>
      <c r="AY26" s="335">
        <f>AY5-AY7</f>
        <v>12971</v>
      </c>
      <c r="AZ26" s="335">
        <f>ROUND(AZ5*AZ22,0)</f>
        <v>12971</v>
      </c>
      <c r="BA26" s="335">
        <f>BA5-BA7</f>
        <v>13359</v>
      </c>
      <c r="BB26" s="335">
        <f>ROUND(BB5*BB22,0)</f>
        <v>13359</v>
      </c>
      <c r="BC26" s="335">
        <f>BC5-BC7</f>
        <v>13748</v>
      </c>
      <c r="BD26" s="335">
        <f>ROUND(BD5*BD22,0)</f>
        <v>13748</v>
      </c>
      <c r="BE26" s="335">
        <f>BE5-BE7</f>
        <v>12582</v>
      </c>
      <c r="BF26" s="335">
        <f>ROUND(BF5*BF22,0)</f>
        <v>12582</v>
      </c>
      <c r="BG26" s="335">
        <f>BG5-BG7</f>
        <v>13359</v>
      </c>
      <c r="BH26" s="335">
        <f>ROUND(BH5*BH22,0)</f>
        <v>13359</v>
      </c>
      <c r="BI26" s="335">
        <f>BI5-BI7</f>
        <v>14137</v>
      </c>
      <c r="BJ26" s="335">
        <f>ROUND(BJ5*BJ22,0)</f>
        <v>14137</v>
      </c>
      <c r="BK26" s="335">
        <f>BK5-BK7</f>
        <v>14915</v>
      </c>
      <c r="BL26" s="335">
        <f>ROUND(BL5*BL22,0)</f>
        <v>14915</v>
      </c>
      <c r="BM26" s="335">
        <f>BM5-BM7</f>
        <v>15692</v>
      </c>
      <c r="BN26" s="335">
        <f>ROUND(BN5*BN22,0)</f>
        <v>15692</v>
      </c>
      <c r="BO26" s="335">
        <f>BO5-BO7</f>
        <v>13359</v>
      </c>
      <c r="BP26" s="335">
        <f>ROUND(BP5*BP22,0)</f>
        <v>13359</v>
      </c>
      <c r="BQ26" s="335">
        <f>BQ5-BQ7</f>
        <v>14915</v>
      </c>
      <c r="BR26" s="335">
        <f>ROUND(BR5*BR22,0)</f>
        <v>14915</v>
      </c>
      <c r="BS26" s="335">
        <f>BS5-BS7</f>
        <v>16470</v>
      </c>
      <c r="BT26" s="335">
        <f>ROUND(BT5*BT22,0)</f>
        <v>16470</v>
      </c>
      <c r="BU26" s="335">
        <f>BU5-BU7</f>
        <v>18025</v>
      </c>
      <c r="BV26" s="335">
        <f>ROUND(BV5*BV22,0)</f>
        <v>18025</v>
      </c>
      <c r="BW26" s="335">
        <f>BW5-BW7</f>
        <v>19580</v>
      </c>
      <c r="BX26" s="335">
        <f>ROUND(BX5*BX22,0)</f>
        <v>19580</v>
      </c>
    </row>
    <row r="27" spans="2:76" ht="16.5" hidden="1" customHeight="1" thickBot="1" x14ac:dyDescent="0.35">
      <c r="B27" s="70"/>
      <c r="C27" s="70"/>
      <c r="D27" s="335">
        <f t="shared" ref="D27:H27" si="30">SUM(D28:D40)</f>
        <v>6019.5</v>
      </c>
      <c r="E27" s="335">
        <f t="shared" si="30"/>
        <v>7456.666666666667</v>
      </c>
      <c r="F27" s="335">
        <f t="shared" si="30"/>
        <v>8726.3333333333339</v>
      </c>
      <c r="G27" s="335">
        <f t="shared" si="30"/>
        <v>8816.1666666666661</v>
      </c>
      <c r="H27" s="335">
        <f t="shared" si="30"/>
        <v>11292.5</v>
      </c>
      <c r="I27" s="335">
        <f>SUM(I28:I40)</f>
        <v>11501.666666666668</v>
      </c>
      <c r="J27" s="335">
        <f>SUM(J28:J40)</f>
        <v>11804.500000000002</v>
      </c>
      <c r="K27" s="335" t="s">
        <v>478</v>
      </c>
      <c r="L27" s="393" t="s">
        <v>479</v>
      </c>
      <c r="M27" s="393"/>
      <c r="N27" s="335"/>
      <c r="O27" s="335"/>
      <c r="P27" s="335"/>
      <c r="Q27" s="335"/>
      <c r="R27" s="335"/>
      <c r="S27" s="335"/>
      <c r="T27" s="335"/>
      <c r="U27" s="335"/>
      <c r="V27" s="335"/>
      <c r="W27" s="335"/>
      <c r="X27" s="335"/>
      <c r="Y27" s="335"/>
      <c r="Z27" s="335"/>
      <c r="AA27" s="335">
        <f t="shared" ref="AA27:BX27" si="31">SUM(AA28:AA40)</f>
        <v>13289</v>
      </c>
      <c r="AB27" s="335">
        <f t="shared" si="31"/>
        <v>11804</v>
      </c>
      <c r="AC27" s="335">
        <f t="shared" si="31"/>
        <v>13292</v>
      </c>
      <c r="AD27" s="335">
        <f t="shared" si="31"/>
        <v>11804</v>
      </c>
      <c r="AE27" s="335">
        <f t="shared" si="31"/>
        <v>13399</v>
      </c>
      <c r="AF27" s="335">
        <f t="shared" si="31"/>
        <v>11804</v>
      </c>
      <c r="AG27" s="335">
        <f t="shared" si="31"/>
        <v>13595</v>
      </c>
      <c r="AH27" s="335">
        <f t="shared" si="31"/>
        <v>11804</v>
      </c>
      <c r="AI27" s="335">
        <f t="shared" si="31"/>
        <v>13331</v>
      </c>
      <c r="AJ27" s="335">
        <f t="shared" si="31"/>
        <v>11804</v>
      </c>
      <c r="AK27" s="335">
        <f t="shared" si="31"/>
        <v>13289</v>
      </c>
      <c r="AL27" s="335">
        <f t="shared" si="31"/>
        <v>11999</v>
      </c>
      <c r="AM27" s="335">
        <f t="shared" si="31"/>
        <v>13495</v>
      </c>
      <c r="AN27" s="335">
        <f t="shared" si="31"/>
        <v>12193</v>
      </c>
      <c r="AO27" s="335">
        <f t="shared" si="31"/>
        <v>13806</v>
      </c>
      <c r="AP27" s="335">
        <f t="shared" si="31"/>
        <v>12388</v>
      </c>
      <c r="AQ27" s="335">
        <f t="shared" si="31"/>
        <v>14204</v>
      </c>
      <c r="AR27" s="335">
        <f t="shared" si="31"/>
        <v>12582</v>
      </c>
      <c r="AS27" s="335">
        <f t="shared" si="31"/>
        <v>14147</v>
      </c>
      <c r="AT27" s="335">
        <f t="shared" si="31"/>
        <v>12776</v>
      </c>
      <c r="AU27" s="335">
        <f t="shared" si="31"/>
        <v>13289</v>
      </c>
      <c r="AV27" s="335">
        <f t="shared" si="31"/>
        <v>12193</v>
      </c>
      <c r="AW27" s="335">
        <f t="shared" si="31"/>
        <v>13700</v>
      </c>
      <c r="AX27" s="335">
        <f t="shared" si="31"/>
        <v>12582</v>
      </c>
      <c r="AY27" s="335">
        <f t="shared" si="31"/>
        <v>14210</v>
      </c>
      <c r="AZ27" s="335">
        <f t="shared" si="31"/>
        <v>12971</v>
      </c>
      <c r="BA27" s="335">
        <f t="shared" si="31"/>
        <v>14814</v>
      </c>
      <c r="BB27" s="335">
        <f t="shared" si="31"/>
        <v>13359</v>
      </c>
      <c r="BC27" s="335">
        <f t="shared" si="31"/>
        <v>14960</v>
      </c>
      <c r="BD27" s="335">
        <f t="shared" si="31"/>
        <v>13748</v>
      </c>
      <c r="BE27" s="335">
        <f t="shared" si="31"/>
        <v>13289</v>
      </c>
      <c r="BF27" s="335">
        <f t="shared" si="31"/>
        <v>12582</v>
      </c>
      <c r="BG27" s="335">
        <f t="shared" si="31"/>
        <v>14105</v>
      </c>
      <c r="BH27" s="335">
        <f t="shared" si="31"/>
        <v>13359</v>
      </c>
      <c r="BI27" s="335">
        <f t="shared" si="31"/>
        <v>15019</v>
      </c>
      <c r="BJ27" s="335">
        <f t="shared" si="31"/>
        <v>14137</v>
      </c>
      <c r="BK27" s="335">
        <f t="shared" si="31"/>
        <v>16030</v>
      </c>
      <c r="BL27" s="335">
        <f t="shared" si="31"/>
        <v>14915</v>
      </c>
      <c r="BM27" s="335">
        <f t="shared" si="31"/>
        <v>16588</v>
      </c>
      <c r="BN27" s="335">
        <f t="shared" si="31"/>
        <v>15692</v>
      </c>
      <c r="BO27" s="335">
        <f t="shared" si="31"/>
        <v>13289</v>
      </c>
      <c r="BP27" s="335">
        <f t="shared" si="31"/>
        <v>13359</v>
      </c>
      <c r="BQ27" s="335">
        <f t="shared" si="31"/>
        <v>14914</v>
      </c>
      <c r="BR27" s="335">
        <f t="shared" si="31"/>
        <v>14915</v>
      </c>
      <c r="BS27" s="335">
        <f t="shared" si="31"/>
        <v>16639</v>
      </c>
      <c r="BT27" s="335">
        <f t="shared" si="31"/>
        <v>16470</v>
      </c>
      <c r="BU27" s="335">
        <f t="shared" si="31"/>
        <v>18468</v>
      </c>
      <c r="BV27" s="335">
        <f t="shared" si="31"/>
        <v>18025</v>
      </c>
      <c r="BW27" s="335">
        <f t="shared" si="31"/>
        <v>19849</v>
      </c>
      <c r="BX27" s="335">
        <f t="shared" si="31"/>
        <v>19580</v>
      </c>
    </row>
    <row r="28" spans="2:76" ht="15.75" x14ac:dyDescent="0.3">
      <c r="B28" s="294" t="s">
        <v>442</v>
      </c>
      <c r="C28" s="294">
        <v>0</v>
      </c>
      <c r="D28" s="342">
        <v>441.66666666666669</v>
      </c>
      <c r="E28" s="343">
        <v>570.66666666666663</v>
      </c>
      <c r="F28" s="343">
        <v>607.66666666666663</v>
      </c>
      <c r="G28" s="343">
        <v>646.66666666666663</v>
      </c>
      <c r="H28" s="343">
        <v>783.16666666666663</v>
      </c>
      <c r="I28" s="343">
        <v>815.5</v>
      </c>
      <c r="J28" s="344">
        <v>775</v>
      </c>
      <c r="K28" s="393">
        <f t="array" ref="K28">AVERAGE(D28:J28/D$27:J$27)</f>
        <v>7.1256899085104769E-2</v>
      </c>
      <c r="L28" s="336"/>
      <c r="M28" s="346">
        <v>1</v>
      </c>
      <c r="N28" s="346"/>
      <c r="O28" s="346"/>
      <c r="P28" s="346"/>
      <c r="Q28" s="346"/>
      <c r="R28" s="346"/>
      <c r="S28" s="346"/>
      <c r="T28" s="345">
        <f t="array" ref="T28:T40">J28:J40</f>
        <v>775</v>
      </c>
      <c r="U28" s="345"/>
      <c r="V28" s="338" t="str">
        <f>IF(ISERROR(Z28),"Linear",IF(X28&gt;Z28,"Linear","Logarithmic"))</f>
        <v>Linear</v>
      </c>
      <c r="W28" s="338">
        <f>LINEST($D28:$J28,$D$4:$J$4)</f>
        <v>59.470238095238081</v>
      </c>
      <c r="X28" s="338">
        <f>INDEX(LINEST($D28:$J28,$D$4:$J$4,TRUE,TRUE),3)</f>
        <v>0.89147900551676984</v>
      </c>
      <c r="Y28" s="338">
        <f>ROUND(LOGEST($D28:$J28,$D$4:$J$4),6)</f>
        <v>1.099448</v>
      </c>
      <c r="Z28" s="338">
        <f>INDEX(LOGEST($D28:$J28,$D$4:$J$4,TRUE,TRUE),3)</f>
        <v>0.87405402469779392</v>
      </c>
      <c r="AA28" s="347">
        <f>IF($D$22="B&amp;M",
      ROUND(IF($V28="Linear",TREND($D28:$J28,$D$4:$J$4,AB$4),GROWTH($D28:$J28,$D$4:$J$4,AB$4)),0),
      ROUND(AA$26*$K28,0))</f>
        <v>901</v>
      </c>
      <c r="AB28" s="517">
        <f>IF(OR(((AA$26-AA$27)/13)-QUOTIENT(AA$26-AA$27,13)=0, ROUND(ABS(((AA$26-AA$27)/13))-ABS(QUOTIENT(AA$26-AA$27,13)),3)&lt;=ROUND((ROW(AA28)-ROW(AA$28))/13,3)),
         AA28+QUOTIENT(AA$26-AA$27,13),
         IF(AA$26-AA$27&gt;0,
               AA28+QUOTIENT(AA$26-AA$27,13)+1,
               AA28+QUOTIENT(AA$26-AA$27,13)-1))</f>
        <v>786</v>
      </c>
      <c r="AC28" s="518">
        <f>IF($D$22="B&amp;M",
      ROUND(IF($V28="Linear",TREND($D28:$J28,$D$4:$J$4,AD$4),GROWTH($D28:$J28,$D$4:$J$4,AD$4)),0),
      ROUND(AC$26*$K28,0))</f>
        <v>960</v>
      </c>
      <c r="AD28" s="518">
        <f>IF(OR(((AC$26-AC$27)/13)-QUOTIENT(AC$26-AC$27,13)=0, ROUND(ABS(((AC$26-AC$27)/13))-ABS(QUOTIENT(AC$26-AC$27,13)),3)&lt;=ROUND((ROW(AC28)-ROW(AC$28))/13,3)),
         AC28+QUOTIENT(AC$26-AC$27,13),
         IF(AC$26-AC$27&gt;0,
               AC28+QUOTIENT(AC$26-AC$27,13)+1,
               AC28+QUOTIENT(AC$26-AC$27,13)-1))</f>
        <v>845</v>
      </c>
      <c r="AE28" s="518">
        <f>IF($D$22="B&amp;M",
      ROUND(IF($V28="Linear",TREND($D28:$J28,$D$4:$J$4,AF$4),GROWTH($D28:$J28,$D$4:$J$4,AF$4)),0),
      ROUND(AE$26*$K28,0))</f>
        <v>1020</v>
      </c>
      <c r="AF28" s="518">
        <f>IF(OR(((AE$26-AE$27)/13)-QUOTIENT(AE$26-AE$27,13)=0, ROUND(ABS(((AE$26-AE$27)/13))-ABS(QUOTIENT(AE$26-AE$27,13)),3)&lt;=ROUND((ROW(AE28)-ROW(AE$28))/13,3)),
         AE28+QUOTIENT(AE$26-AE$27,13),
         IF(AE$26-AE$27&gt;0,
               AE28+QUOTIENT(AE$26-AE$27,13)+1,
               AE28+QUOTIENT(AE$26-AE$27,13)-1))</f>
        <v>897</v>
      </c>
      <c r="AG28" s="518">
        <f>IF($D$22="B&amp;M",
      ROUND(IF($V28="Linear",TREND($D28:$J28,$D$4:$J$4,AH$4),GROWTH($D28:$J28,$D$4:$J$4,AH$4)),0),
      ROUND(AG$26*$K28,0))</f>
        <v>1079</v>
      </c>
      <c r="AH28" s="518">
        <f>IF(OR(((AG$26-AG$27)/13)-QUOTIENT(AG$26-AG$27,13)=0, ROUND(ABS(((AG$26-AG$27)/13))-ABS(QUOTIENT(AG$26-AG$27,13)),3)&lt;=ROUND((ROW(AG28)-ROW(AG$28))/13,3)),
         AG28+QUOTIENT(AG$26-AG$27,13),
         IF(AG$26-AG$27&gt;0,
               AG28+QUOTIENT(AG$26-AG$27,13)+1,
               AG28+QUOTIENT(AG$26-AG$27,13)-1))</f>
        <v>941</v>
      </c>
      <c r="AI28" s="518">
        <f>IF($D$22="B&amp;M",
      ROUND(IF($V28="Linear",TREND($D28:$J28,$D$4:$J$4,AJ$4),GROWTH($D28:$J28,$D$4:$J$4,AJ$4)),0),
      ROUND(AI$26*$K28,0))</f>
        <v>1139</v>
      </c>
      <c r="AJ28" s="519">
        <f>IF(OR(((AI$26-AI$27)/13)-QUOTIENT(AI$26-AI$27,13)=0, ROUND(ABS(((AI$26-AI$27)/13))-ABS(QUOTIENT(AI$26-AI$27,13)),3)&lt;=ROUND((ROW(AI28)-ROW(AI$28))/13,3)),
         AI28+QUOTIENT(AI$26-AI$27,13),
         IF(AI$26-AI$27&gt;0,
               AI28+QUOTIENT(AI$26-AI$27,13)+1,
               AI28+QUOTIENT(AI$26-AI$27,13)-1))</f>
        <v>1021</v>
      </c>
      <c r="AK28" s="393">
        <f>IF($D$22="B&amp;M",
      ROUND(IF($V28="Linear",TREND($D28:$J28,$D$4:$J$4,AL$4),GROWTH($D28:$J28,$D$4:$J$4,AL$4)),0),
      ROUND(AK$26*$K28,0))</f>
        <v>901</v>
      </c>
      <c r="AL28" s="517">
        <f>IF(OR(((AK$26-AK$27)/13)-QUOTIENT(AK$26-AK$27,13)=0, ROUND(ABS(((AK$26-AK$27)/13))-ABS(QUOTIENT(AK$26-AK$27,13)),3)&lt;=ROUND((ROW(AK28)-ROW(AK$28))/13,3)),
         AK28+QUOTIENT(AK$26-AK$27,13),
         IF(AK$26-AK$27&gt;0,
               AK28+QUOTIENT(AK$26-AK$27,13)+1,
               AK28+QUOTIENT(AK$26-AK$27,13)-1))</f>
        <v>801</v>
      </c>
      <c r="AM28" s="518">
        <f>IF($D$22="B&amp;M",
      ROUND(IF($V28="Linear",TREND($D28:$J28,$D$4:$J$4,AN$4),GROWTH($D28:$J28,$D$4:$J$4,AN$4)),0),
      ROUND(AM$26*$K28,0))</f>
        <v>960</v>
      </c>
      <c r="AN28" s="518">
        <f>IF(OR(((AM$26-AM$27)/13)-QUOTIENT(AM$26-AM$27,13)=0, ROUND(ABS(((AM$26-AM$27)/13))-ABS(QUOTIENT(AM$26-AM$27,13)),3)&lt;=ROUND((ROW(AM28)-ROW(AM$28))/13,3)),
         AM28+QUOTIENT(AM$26-AM$27,13),
         IF(AM$26-AM$27&gt;0,
               AM28+QUOTIENT(AM$26-AM$27,13)+1,
               AM28+QUOTIENT(AM$26-AM$27,13)-1))</f>
        <v>859</v>
      </c>
      <c r="AO28" s="518">
        <f>IF($D$22="B&amp;M",
      ROUND(IF($V28="Linear",TREND($D28:$J28,$D$4:$J$4,AP$4),GROWTH($D28:$J28,$D$4:$J$4,AP$4)),0),
      ROUND(AO$26*$K28,0))</f>
        <v>1020</v>
      </c>
      <c r="AP28" s="518">
        <f>IF(OR(((AO$26-AO$27)/13)-QUOTIENT(AO$26-AO$27,13)=0, ROUND(ABS(((AO$26-AO$27)/13))-ABS(QUOTIENT(AO$26-AO$27,13)),3)&lt;=ROUND((ROW(AO28)-ROW(AO$28))/13,3)),
         AO28+QUOTIENT(AO$26-AO$27,13),
         IF(AO$26-AO$27&gt;0,
               AO28+QUOTIENT(AO$26-AO$27,13)+1,
               AO28+QUOTIENT(AO$26-AO$27,13)-1))</f>
        <v>910</v>
      </c>
      <c r="AQ28" s="518">
        <f>IF($D$22="B&amp;M",
      ROUND(IF($V28="Linear",TREND($D28:$J28,$D$4:$J$4,AR$4),GROWTH($D28:$J28,$D$4:$J$4,AR$4)),0),
      ROUND(AQ$26*$K28,0))</f>
        <v>1079</v>
      </c>
      <c r="AR28" s="518">
        <f>IF(OR(((AQ$26-AQ$27)/13)-QUOTIENT(AQ$26-AQ$27,13)=0, ROUND(ABS(((AQ$26-AQ$27)/13))-ABS(QUOTIENT(AQ$26-AQ$27,13)),3)&lt;=ROUND((ROW(AQ28)-ROW(AQ$28))/13,3)),
         AQ28+QUOTIENT(AQ$26-AQ$27,13),
         IF(AQ$26-AQ$27&gt;0,
               AQ28+QUOTIENT(AQ$26-AQ$27,13)+1,
               AQ28+QUOTIENT(AQ$26-AQ$27,13)-1))</f>
        <v>954</v>
      </c>
      <c r="AS28" s="518">
        <f>IF($D$22="B&amp;M",
      ROUND(IF($V28="Linear",TREND($D28:$J28,$D$4:$J$4,AT$4),GROWTH($D28:$J28,$D$4:$J$4,AT$4)),0),
      ROUND(AS$26*$K28,0))</f>
        <v>1139</v>
      </c>
      <c r="AT28" s="519">
        <f>IF(OR(((AS$26-AS$27)/13)-QUOTIENT(AS$26-AS$27,13)=0, ROUND(ABS(((AS$26-AS$27)/13))-ABS(QUOTIENT(AS$26-AS$27,13)),3)&lt;=ROUND((ROW(AS28)-ROW(AS$28))/13,3)),
         AS28+QUOTIENT(AS$26-AS$27,13),
         IF(AS$26-AS$27&gt;0,
               AS28+QUOTIENT(AS$26-AS$27,13)+1,
               AS28+QUOTIENT(AS$26-AS$27,13)-1))</f>
        <v>1033</v>
      </c>
      <c r="AU28" s="393">
        <f>IF($D$22="B&amp;M",
      ROUND(IF($V28="Linear",TREND($D28:$J28,$D$4:$J$4,AV$4),GROWTH($D28:$J28,$D$4:$J$4,AV$4)),0),
      ROUND(AU$26*$K28,0))</f>
        <v>901</v>
      </c>
      <c r="AV28" s="517">
        <f>IF(OR(((AU$26-AU$27)/13)-QUOTIENT(AU$26-AU$27,13)=0, ROUND(ABS(((AU$26-AU$27)/13))-ABS(QUOTIENT(AU$26-AU$27,13)),3)&lt;=ROUND((ROW(AU28)-ROW(AU$28))/13,3)),
         AU28+QUOTIENT(AU$26-AU$27,13),
         IF(AU$26-AU$27&gt;0,
               AU28+QUOTIENT(AU$26-AU$27,13)+1,
               AU28+QUOTIENT(AU$26-AU$27,13)-1))</f>
        <v>816</v>
      </c>
      <c r="AW28" s="518">
        <f>IF($D$22="B&amp;M",
      ROUND(IF($V28="Linear",TREND($D28:$J28,$D$4:$J$4,AX$4),GROWTH($D28:$J28,$D$4:$J$4,AX$4)),0),
      ROUND(AW$26*$K28,0))</f>
        <v>960</v>
      </c>
      <c r="AX28" s="518">
        <f>IF(OR(((AW$26-AW$27)/13)-QUOTIENT(AW$26-AW$27,13)=0, ROUND(ABS(((AW$26-AW$27)/13))-ABS(QUOTIENT(AW$26-AW$27,13)),3)&lt;=ROUND((ROW(AW28)-ROW(AW$28))/13,3)),
         AW28+QUOTIENT(AW$26-AW$27,13),
         IF(AW$26-AW$27&gt;0,
               AW28+QUOTIENT(AW$26-AW$27,13)+1,
               AW28+QUOTIENT(AW$26-AW$27,13)-1))</f>
        <v>874</v>
      </c>
      <c r="AY28" s="518">
        <f>IF($D$22="B&amp;M",
      ROUND(IF($V28="Linear",TREND($D28:$J28,$D$4:$J$4,AZ$4),GROWTH($D28:$J28,$D$4:$J$4,AZ$4)),0),
      ROUND(AY$26*$K28,0))</f>
        <v>1020</v>
      </c>
      <c r="AZ28" s="518">
        <f>IF(OR(((AY$26-AY$27)/13)-QUOTIENT(AY$26-AY$27,13)=0, ROUND(ABS(((AY$26-AY$27)/13))-ABS(QUOTIENT(AY$26-AY$27,13)),3)&lt;=ROUND((ROW(AY28)-ROW(AY$28))/13,3)),
         AY28+QUOTIENT(AY$26-AY$27,13),
         IF(AY$26-AY$27&gt;0,
               AY28+QUOTIENT(AY$26-AY$27,13)+1,
               AY28+QUOTIENT(AY$26-AY$27,13)-1))</f>
        <v>924</v>
      </c>
      <c r="BA28" s="518">
        <f>IF($D$22="B&amp;M",
      ROUND(IF($V28="Linear",TREND($D28:$J28,$D$4:$J$4,BB$4),GROWTH($D28:$J28,$D$4:$J$4,BB$4)),0),
      ROUND(BA$26*$K28,0))</f>
        <v>1079</v>
      </c>
      <c r="BB28" s="518">
        <f>IF(OR(((BA$26-BA$27)/13)-QUOTIENT(BA$26-BA$27,13)=0, ROUND(ABS(((BA$26-BA$27)/13))-ABS(QUOTIENT(BA$26-BA$27,13)),3)&lt;=ROUND((ROW(BA28)-ROW(BA$28))/13,3)),
         BA28+QUOTIENT(BA$26-BA$27,13),
         IF(BA$26-BA$27&gt;0,
               BA28+QUOTIENT(BA$26-BA$27,13)+1,
               BA28+QUOTIENT(BA$26-BA$27,13)-1))</f>
        <v>967</v>
      </c>
      <c r="BC28" s="518">
        <f>IF($D$22="B&amp;M",
      ROUND(IF($V28="Linear",TREND($D28:$J28,$D$4:$J$4,BD$4),GROWTH($D28:$J28,$D$4:$J$4,BD$4)),0),
      ROUND(BC$26*$K28,0))</f>
        <v>1139</v>
      </c>
      <c r="BD28" s="519">
        <f>IF(OR(((BC$26-BC$27)/13)-QUOTIENT(BC$26-BC$27,13)=0, ROUND(ABS(((BC$26-BC$27)/13))-ABS(QUOTIENT(BC$26-BC$27,13)),3)&lt;=ROUND((ROW(BC28)-ROW(BC$28))/13,3)),
         BC28+QUOTIENT(BC$26-BC$27,13),
         IF(BC$26-BC$27&gt;0,
               BC28+QUOTIENT(BC$26-BC$27,13)+1,
               BC28+QUOTIENT(BC$26-BC$27,13)-1))</f>
        <v>1045</v>
      </c>
      <c r="BE28" s="393">
        <f>IF($D$22="B&amp;M",
      ROUND(IF($V28="Linear",TREND($D28:$J28,$D$4:$J$4,BF$4),GROWTH($D28:$J28,$D$4:$J$4,BF$4)),0),
      ROUND(BE$26*$K28,0))</f>
        <v>901</v>
      </c>
      <c r="BF28" s="517">
        <f>IF(OR(((BE$26-BE$27)/13)-QUOTIENT(BE$26-BE$27,13)=0, ROUND(ABS(((BE$26-BE$27)/13))-ABS(QUOTIENT(BE$26-BE$27,13)),3)&lt;=ROUND((ROW(BE28)-ROW(BE$28))/13,3)),
         BE28+QUOTIENT(BE$26-BE$27,13),
         IF(BE$26-BE$27&gt;0,
               BE28+QUOTIENT(BE$26-BE$27,13)+1,
               BE28+QUOTIENT(BE$26-BE$27,13)-1))</f>
        <v>846</v>
      </c>
      <c r="BG28" s="518">
        <f>IF($D$22="B&amp;M",
      ROUND(IF($V28="Linear",TREND($D28:$J28,$D$4:$J$4,BH$4),GROWTH($D28:$J28,$D$4:$J$4,BH$4)),0),
      ROUND(BG$26*$K28,0))</f>
        <v>960</v>
      </c>
      <c r="BH28" s="518">
        <f>IF(OR(((BG$26-BG$27)/13)-QUOTIENT(BG$26-BG$27,13)=0, ROUND(ABS(((BG$26-BG$27)/13))-ABS(QUOTIENT(BG$26-BG$27,13)),3)&lt;=ROUND((ROW(BG28)-ROW(BG$28))/13,3)),
         BG28+QUOTIENT(BG$26-BG$27,13),
         IF(BG$26-BG$27&gt;0,
               BG28+QUOTIENT(BG$26-BG$27,13)+1,
               BG28+QUOTIENT(BG$26-BG$27,13)-1))</f>
        <v>902</v>
      </c>
      <c r="BI28" s="518">
        <f>IF($D$22="B&amp;M",
      ROUND(IF($V28="Linear",TREND($D28:$J28,$D$4:$J$4,BJ$4),GROWTH($D28:$J28,$D$4:$J$4,BJ$4)),0),
      ROUND(BI$26*$K28,0))</f>
        <v>1020</v>
      </c>
      <c r="BJ28" s="518">
        <f>IF(OR(((BI$26-BI$27)/13)-QUOTIENT(BI$26-BI$27,13)=0, ROUND(ABS(((BI$26-BI$27)/13))-ABS(QUOTIENT(BI$26-BI$27,13)),3)&lt;=ROUND((ROW(BI28)-ROW(BI$28))/13,3)),
         BI28+QUOTIENT(BI$26-BI$27,13),
         IF(BI$26-BI$27&gt;0,
               BI28+QUOTIENT(BI$26-BI$27,13)+1,
               BI28+QUOTIENT(BI$26-BI$27,13)-1))</f>
        <v>952</v>
      </c>
      <c r="BK28" s="518">
        <f>IF($D$22="B&amp;M",
      ROUND(IF($V28="Linear",TREND($D28:$J28,$D$4:$J$4,BL$4),GROWTH($D28:$J28,$D$4:$J$4,BL$4)),0),
      ROUND(BK$26*$K28,0))</f>
        <v>1079</v>
      </c>
      <c r="BL28" s="518">
        <f>IF(OR(((BK$26-BK$27)/13)-QUOTIENT(BK$26-BK$27,13)=0, ROUND(ABS(((BK$26-BK$27)/13))-ABS(QUOTIENT(BK$26-BK$27,13)),3)&lt;=ROUND((ROW(BK28)-ROW(BK$28))/13,3)),
         BK28+QUOTIENT(BK$26-BK$27,13),
         IF(BK$26-BK$27&gt;0,
               BK28+QUOTIENT(BK$26-BK$27,13)+1,
               BK28+QUOTIENT(BK$26-BK$27,13)-1))</f>
        <v>993</v>
      </c>
      <c r="BM28" s="518">
        <f>IF($D$22="B&amp;M",
      ROUND(IF($V28="Linear",TREND($D28:$J28,$D$4:$J$4,BN$4),GROWTH($D28:$J28,$D$4:$J$4,BN$4)),0),
      ROUND(BM$26*$K28,0))</f>
        <v>1139</v>
      </c>
      <c r="BN28" s="519">
        <f>IF(OR(((BM$26-BM$27)/13)-QUOTIENT(BM$26-BM$27,13)=0, ROUND(ABS(((BM$26-BM$27)/13))-ABS(QUOTIENT(BM$26-BM$27,13)),3)&lt;=ROUND((ROW(BM28)-ROW(BM$28))/13,3)),
         BM28+QUOTIENT(BM$26-BM$27,13),
         IF(BM$26-BM$27&gt;0,
               BM28+QUOTIENT(BM$26-BM$27,13)+1,
               BM28+QUOTIENT(BM$26-BM$27,13)-1))</f>
        <v>1070</v>
      </c>
      <c r="BO28" s="393">
        <f>IF($D$22="B&amp;M",
      ROUND(IF($V28="Linear",TREND($D28:$J28,$D$4:$J$4,BP$4),GROWTH($D28:$J28,$D$4:$J$4,BP$4)),0),
      ROUND(BO$26*$K28,0))</f>
        <v>901</v>
      </c>
      <c r="BP28" s="517">
        <f>IF(OR(((BO$26-BO$27)/13)-QUOTIENT(BO$26-BO$27,13)=0, ROUND(ABS(((BO$26-BO$27)/13))-ABS(QUOTIENT(BO$26-BO$27,13)),3)&lt;=ROUND((ROW(BO28)-ROW(BO$28))/13,3)),
         BO28+QUOTIENT(BO$26-BO$27,13),
         IF(BO$26-BO$27&gt;0,
               BO28+QUOTIENT(BO$26-BO$27,13)+1,
               BO28+QUOTIENT(BO$26-BO$27,13)-1))</f>
        <v>907</v>
      </c>
      <c r="BQ28" s="518">
        <f>IF($D$22="B&amp;M",
      ROUND(IF($V28="Linear",TREND($D28:$J28,$D$4:$J$4,BR$4),GROWTH($D28:$J28,$D$4:$J$4,BR$4)),0),
      ROUND(BQ$26*$K28,0))</f>
        <v>960</v>
      </c>
      <c r="BR28" s="518">
        <f>IF(OR(((BQ$26-BQ$27)/13)-QUOTIENT(BQ$26-BQ$27,13)=0, ROUND(ABS(((BQ$26-BQ$27)/13))-ABS(QUOTIENT(BQ$26-BQ$27,13)),3)&lt;=ROUND((ROW(BQ28)-ROW(BQ$28))/13,3)),
         BQ28+QUOTIENT(BQ$26-BQ$27,13),
         IF(BQ$26-BQ$27&gt;0,
               BQ28+QUOTIENT(BQ$26-BQ$27,13)+1,
               BQ28+QUOTIENT(BQ$26-BQ$27,13)-1))</f>
        <v>961</v>
      </c>
      <c r="BS28" s="518">
        <f>IF($D$22="B&amp;M",
      ROUND(IF($V28="Linear",TREND($D28:$J28,$D$4:$J$4,BT$4),GROWTH($D28:$J28,$D$4:$J$4,BT$4)),0),
      ROUND(BS$26*$K28,0))</f>
        <v>1020</v>
      </c>
      <c r="BT28" s="518">
        <f>IF(OR(((BS$26-BS$27)/13)-QUOTIENT(BS$26-BS$27,13)=0, ROUND(ABS(((BS$26-BS$27)/13))-ABS(QUOTIENT(BS$26-BS$27,13)),3)&lt;=ROUND((ROW(BS28)-ROW(BS$28))/13,3)),
         BS28+QUOTIENT(BS$26-BS$27,13),
         IF(BS$26-BS$27&gt;0,
               BS28+QUOTIENT(BS$26-BS$27,13)+1,
               BS28+QUOTIENT(BS$26-BS$27,13)-1))</f>
        <v>1007</v>
      </c>
      <c r="BU28" s="518">
        <f>IF($D$22="B&amp;M",
      ROUND(IF($V28="Linear",TREND($D28:$J28,$D$4:$J$4,BV$4),GROWTH($D28:$J28,$D$4:$J$4,BV$4)),0),
      ROUND(BU$26*$K28,0))</f>
        <v>1079</v>
      </c>
      <c r="BV28" s="518">
        <f>IF(OR(((BU$26-BU$27)/13)-QUOTIENT(BU$26-BU$27,13)=0, ROUND(ABS(((BU$26-BU$27)/13))-ABS(QUOTIENT(BU$26-BU$27,13)),3)&lt;=ROUND((ROW(BU28)-ROW(BU$28))/13,3)),
         BU28+QUOTIENT(BU$26-BU$27,13),
         IF(BU$26-BU$27&gt;0,
               BU28+QUOTIENT(BU$26-BU$27,13)+1,
               BU28+QUOTIENT(BU$26-BU$27,13)-1))</f>
        <v>1044</v>
      </c>
      <c r="BW28" s="518">
        <f>IF($D$22="B&amp;M",
      ROUND(IF($V28="Linear",TREND($D28:$J28,$D$4:$J$4,BX$4),GROWTH($D28:$J28,$D$4:$J$4,BX$4)),0),
      ROUND(BW$26*$K28,0))</f>
        <v>1139</v>
      </c>
      <c r="BX28" s="519">
        <f>IF(OR(((BW$26-BW$27)/13)-QUOTIENT(BW$26-BW$27,13)=0, ROUND(ABS(((BW$26-BW$27)/13))-ABS(QUOTIENT(BW$26-BW$27,13)),3)&lt;=ROUND((ROW(BW28)-ROW(BW$28))/13,3)),
         BW28+QUOTIENT(BW$26-BW$27,13),
         IF(BW$26-BW$27&gt;0,
               BW28+QUOTIENT(BW$26-BW$27,13)+1,
               BW28+QUOTIENT(BW$26-BW$27,13)-1))</f>
        <v>1118</v>
      </c>
    </row>
    <row r="29" spans="2:76" ht="15.75" customHeight="1" x14ac:dyDescent="0.3">
      <c r="B29" s="294" t="s">
        <v>382</v>
      </c>
      <c r="C29" s="294">
        <v>1</v>
      </c>
      <c r="D29" s="350">
        <v>441.16666666666669</v>
      </c>
      <c r="E29" s="351">
        <v>515.83333333333337</v>
      </c>
      <c r="F29" s="352">
        <v>582.66666666666663</v>
      </c>
      <c r="G29" s="352">
        <v>647.5</v>
      </c>
      <c r="H29" s="352">
        <v>829</v>
      </c>
      <c r="I29" s="352">
        <v>801.33333333333337</v>
      </c>
      <c r="J29" s="353">
        <v>843.5</v>
      </c>
      <c r="K29" s="393">
        <f t="array" ref="K29">AVERAGE(D29:J29/D$27:J$27)</f>
        <v>7.1031595792750965E-2</v>
      </c>
      <c r="L29" s="355">
        <f>AVERAGEIF(D28:I28,"&lt;&gt;0",D42:I42)</f>
        <v>9.8998967729219303E-2</v>
      </c>
      <c r="M29" s="355">
        <v>2</v>
      </c>
      <c r="N29" s="355"/>
      <c r="O29" s="355"/>
      <c r="P29" s="355"/>
      <c r="Q29" s="355"/>
      <c r="R29" s="355"/>
      <c r="S29" s="355">
        <f t="shared" ref="S29:S40" si="32">INDEX($D$28:$I$39,$M29+S$4,S$4+7)</f>
        <v>815.5</v>
      </c>
      <c r="T29" s="354">
        <v>843.5</v>
      </c>
      <c r="U29" s="354"/>
      <c r="V29" s="354" t="str">
        <f>IF(ISERROR(Z29),"Linear",IF(X29&gt;Z29,"Linear","Logarithmic"))</f>
        <v>Linear</v>
      </c>
      <c r="W29" s="354" t="str">
        <f>IF($D$22="B&amp;M","FALSE",
LINEST($D29:$J29,$N$4:$T$4))</f>
        <v>FALSE</v>
      </c>
      <c r="X29" s="394" t="e">
        <f t="shared" ref="X29:X40" si="33">INDEX(IF($D$22="B&amp;M",LINEST($N29:$T29,$N$4:$T$4,TRUE,TRUE),LINEST($D29:$J29,$N$4:$T$4,TRUE,TRUE)),3)</f>
        <v>#VALUE!</v>
      </c>
      <c r="Y29" s="354">
        <f>ROUND(LOGEST($D29:$J29,$D$4:$J$4),6)</f>
        <v>1.1201920000000001</v>
      </c>
      <c r="Z29" s="394" t="e">
        <f t="shared" ref="Z29:Z40" si="34">INDEX(IF($D$22="B&amp;M",LOGEST($N29:$T29,$N$4:$T$4,TRUE,TRUE),LOGEST($D29:$J29,$N$4:$T$4,TRUE,TRUE)),3)</f>
        <v>#VALUE!</v>
      </c>
      <c r="AA29" s="348">
        <f t="array" ref="AA29:AA40">IF($D$22="B&amp;M",
       ROUND(J28:J39*(1+$L29:$L40),0),
       ROUND(AA$26*($K29:$K40),0))</f>
        <v>852</v>
      </c>
      <c r="AB29" s="520">
        <f t="shared" ref="AB29:AD40" si="35">IF(OR(((AA$26-AA$27)/13)-QUOTIENT(AA$26-AA$27,13)=0, ROUND(ABS(((AA$26-AA$27)/13))-ABS(QUOTIENT(AA$26-AA$27,13)),3)&lt;=ROUND((ROW(AA29)-ROW(AA$28))/13,3)),
         AA29+QUOTIENT(AA$26-AA$27,13),
         IF(AA$26-AA$27&gt;0,
               AA29+QUOTIENT(AA$26-AA$27,13)+1,
               AA29+QUOTIENT(AA$26-AA$27,13)-1))</f>
        <v>737</v>
      </c>
      <c r="AC29" s="348">
        <f t="array" ref="AC29:AC40">IF($D$22="B&amp;M",
       ROUND(AB28:AB39*(1+$L29:$L40),0),
       ROUND(AC$26*($K29:$K40),0))</f>
        <v>864</v>
      </c>
      <c r="AD29" s="348">
        <f t="shared" ref="AD29" si="36">IF(OR(((AC$26-AC$27)/13)-QUOTIENT(AC$26-AC$27,13)=0, ROUND(ABS(((AC$26-AC$27)/13))-ABS(QUOTIENT(AC$26-AC$27,13)),3)&lt;=ROUND((ROW(AC29)-ROW(AC$28))/13,3)),
         AC29+QUOTIENT(AC$26-AC$27,13),
         IF(AC$26-AC$27&gt;0,
               AC29+QUOTIENT(AC$26-AC$27,13)+1,
               AC29+QUOTIENT(AC$26-AC$27,13)-1))</f>
        <v>749</v>
      </c>
      <c r="AE29" s="348">
        <f t="array" ref="AE29:AE40">IF($D$22="B&amp;M",
       ROUND(AD28:AD39*(1+$L29:$L40),0),
       ROUND(AE$26*($K29:$K40),0))</f>
        <v>929</v>
      </c>
      <c r="AF29" s="348">
        <f t="shared" ref="AF29:AF40" si="37">IF(OR(((AE$26-AE$27)/13)-QUOTIENT(AE$26-AE$27,13)=0, ROUND(ABS(((AE$26-AE$27)/13))-ABS(QUOTIENT(AE$26-AE$27,13)),3)&lt;=ROUND((ROW(AE29)-ROW(AE$28))/13,3)),
         AE29+QUOTIENT(AE$26-AE$27,13),
         IF(AE$26-AE$27&gt;0,
               AE29+QUOTIENT(AE$26-AE$27,13)+1,
               AE29+QUOTIENT(AE$26-AE$27,13)-1))</f>
        <v>806</v>
      </c>
      <c r="AG29" s="348">
        <f t="array" ref="AG29:AG40">IF($D$22="B&amp;M",
       ROUND(AF28:AF39*(1+$L29:$L40),0),
       ROUND(AG$26*($K29:$K40),0))</f>
        <v>986</v>
      </c>
      <c r="AH29" s="348">
        <f t="shared" ref="AH29:AH40" si="38">IF(OR(((AG$26-AG$27)/13)-QUOTIENT(AG$26-AG$27,13)=0, ROUND(ABS(((AG$26-AG$27)/13))-ABS(QUOTIENT(AG$26-AG$27,13)),3)&lt;=ROUND((ROW(AG29)-ROW(AG$28))/13,3)),
         AG29+QUOTIENT(AG$26-AG$27,13),
         IF(AG$26-AG$27&gt;0,
               AG29+QUOTIENT(AG$26-AG$27,13)+1,
               AG29+QUOTIENT(AG$26-AG$27,13)-1))</f>
        <v>848</v>
      </c>
      <c r="AI29" s="348">
        <f t="array" ref="AI29:AI40">IF($D$22="B&amp;M",
       ROUND(AH28:AH39*(1+$L29:$L40),0),
       ROUND(AI$26*($K29:$K40),0))</f>
        <v>1034</v>
      </c>
      <c r="AJ29" s="531">
        <f t="shared" ref="AJ29:AJ40" si="39">IF(OR(((AI$26-AI$27)/13)-QUOTIENT(AI$26-AI$27,13)=0, ROUND(ABS(((AI$26-AI$27)/13))-ABS(QUOTIENT(AI$26-AI$27,13)),3)&lt;=ROUND((ROW(AI29)-ROW(AI$28))/13,3)),
         AI29+QUOTIENT(AI$26-AI$27,13),
         IF(AI$26-AI$27&gt;0,
               AI29+QUOTIENT(AI$26-AI$27,13)+1,
               AI29+QUOTIENT(AI$26-AI$27,13)-1))</f>
        <v>916</v>
      </c>
      <c r="AK29" s="393">
        <f t="array" ref="AK29:AK40">IF($D$22="B&amp;M",
       ROUND($J28:$J39*(1+$L29:$L40),0),
       ROUND(AK$26*($K29:$K40),0))</f>
        <v>852</v>
      </c>
      <c r="AL29" s="520">
        <f t="shared" ref="AL29:AL40" si="40">IF(OR(((AK$26-AK$27)/13)-QUOTIENT(AK$26-AK$27,13)=0, ROUND(ABS(((AK$26-AK$27)/13))-ABS(QUOTIENT(AK$26-AK$27,13)),3)&lt;=ROUND((ROW(AK29)-ROW(AK$28))/13,3)),
         AK29+QUOTIENT(AK$26-AK$27,13),
         IF(AK$26-AK$27&gt;0,
               AK29+QUOTIENT(AK$26-AK$27,13)+1,
               AK29+QUOTIENT(AK$26-AK$27,13)-1))</f>
        <v>752</v>
      </c>
      <c r="AM29" s="348">
        <f t="array" ref="AM29:AM40">IF($D$22="B&amp;M",
       ROUND(AL28:AL39*(1+$L29:$L40),0),
       ROUND(AM$26*($K29:$K40),0))</f>
        <v>880</v>
      </c>
      <c r="AN29" s="348">
        <f t="shared" ref="AN29:AN40" si="41">IF(OR(((AM$26-AM$27)/13)-QUOTIENT(AM$26-AM$27,13)=0, ROUND(ABS(((AM$26-AM$27)/13))-ABS(QUOTIENT(AM$26-AM$27,13)),3)&lt;=ROUND((ROW(AM29)-ROW(AM$28))/13,3)),
         AM29+QUOTIENT(AM$26-AM$27,13),
         IF(AM$26-AM$27&gt;0,
               AM29+QUOTIENT(AM$26-AM$27,13)+1,
               AM29+QUOTIENT(AM$26-AM$27,13)-1))</f>
        <v>779</v>
      </c>
      <c r="AO29" s="348">
        <f t="array" ref="AO29:AO40">IF($D$22="B&amp;M",
       ROUND(AN28:AN39*(1+$L29:$L40),0),
       ROUND(AO$26*($K29:$K40),0))</f>
        <v>944</v>
      </c>
      <c r="AP29" s="348">
        <f t="shared" ref="AP29:AP40" si="42">IF(OR(((AO$26-AO$27)/13)-QUOTIENT(AO$26-AO$27,13)=0, ROUND(ABS(((AO$26-AO$27)/13))-ABS(QUOTIENT(AO$26-AO$27,13)),3)&lt;=ROUND((ROW(AO29)-ROW(AO$28))/13,3)),
         AO29+QUOTIENT(AO$26-AO$27,13),
         IF(AO$26-AO$27&gt;0,
               AO29+QUOTIENT(AO$26-AO$27,13)+1,
               AO29+QUOTIENT(AO$26-AO$27,13)-1))</f>
        <v>835</v>
      </c>
      <c r="AQ29" s="348">
        <f t="array" ref="AQ29:AQ40">IF($D$22="B&amp;M",
       ROUND(AP28:AP39*(1+$L29:$L40),0),
       ROUND(AQ$26*($K29:$K40),0))</f>
        <v>1000</v>
      </c>
      <c r="AR29" s="348">
        <f t="shared" ref="AR29:AR40" si="43">IF(OR(((AQ$26-AQ$27)/13)-QUOTIENT(AQ$26-AQ$27,13)=0, ROUND(ABS(((AQ$26-AQ$27)/13))-ABS(QUOTIENT(AQ$26-AQ$27,13)),3)&lt;=ROUND((ROW(AQ29)-ROW(AQ$28))/13,3)),
         AQ29+QUOTIENT(AQ$26-AQ$27,13),
         IF(AQ$26-AQ$27&gt;0,
               AQ29+QUOTIENT(AQ$26-AQ$27,13)+1,
               AQ29+QUOTIENT(AQ$26-AQ$27,13)-1))</f>
        <v>875</v>
      </c>
      <c r="AS29" s="348">
        <f t="array" ref="AS29:AS40">IF($D$22="B&amp;M",
       ROUND(AR28:AR39*(1+$L29:$L40),0),
       ROUND(AS$26*($K29:$K40),0))</f>
        <v>1048</v>
      </c>
      <c r="AT29" s="531">
        <f t="shared" ref="AT29:AT40" si="44">IF(OR(((AS$26-AS$27)/13)-QUOTIENT(AS$26-AS$27,13)=0, ROUND(ABS(((AS$26-AS$27)/13))-ABS(QUOTIENT(AS$26-AS$27,13)),3)&lt;=ROUND((ROW(AS29)-ROW(AS$28))/13,3)),
         AS29+QUOTIENT(AS$26-AS$27,13),
         IF(AS$26-AS$27&gt;0,
               AS29+QUOTIENT(AS$26-AS$27,13)+1,
               AS29+QUOTIENT(AS$26-AS$27,13)-1))</f>
        <v>942</v>
      </c>
      <c r="AU29" s="393">
        <f t="array" ref="AU29:AU40">IF($D$22="B&amp;M",
       ROUND($J28:$J39*(1+$L29:$L40),0),
       ROUND(AU$26*($K29:$K40),0))</f>
        <v>852</v>
      </c>
      <c r="AV29" s="520">
        <f t="shared" ref="AV29:AV40" si="45">IF(OR(((AU$26-AU$27)/13)-QUOTIENT(AU$26-AU$27,13)=0, ROUND(ABS(((AU$26-AU$27)/13))-ABS(QUOTIENT(AU$26-AU$27,13)),3)&lt;=ROUND((ROW(AU29)-ROW(AU$28))/13,3)),
         AU29+QUOTIENT(AU$26-AU$27,13),
         IF(AU$26-AU$27&gt;0,
               AU29+QUOTIENT(AU$26-AU$27,13)+1,
               AU29+QUOTIENT(AU$26-AU$27,13)-1))</f>
        <v>767</v>
      </c>
      <c r="AW29" s="348">
        <f t="array" ref="AW29:AW40">IF($D$22="B&amp;M",
       ROUND(AV28:AV39*(1+$L29:$L40),0),
       ROUND(AW$26*($K29:$K40),0))</f>
        <v>897</v>
      </c>
      <c r="AX29" s="348">
        <f t="shared" ref="AX29:AX40" si="46">IF(OR(((AW$26-AW$27)/13)-QUOTIENT(AW$26-AW$27,13)=0, ROUND(ABS(((AW$26-AW$27)/13))-ABS(QUOTIENT(AW$26-AW$27,13)),3)&lt;=ROUND((ROW(AW29)-ROW(AW$28))/13,3)),
         AW29+QUOTIENT(AW$26-AW$27,13),
         IF(AW$26-AW$27&gt;0,
               AW29+QUOTIENT(AW$26-AW$27,13)+1,
               AW29+QUOTIENT(AW$26-AW$27,13)-1))</f>
        <v>811</v>
      </c>
      <c r="AY29" s="348">
        <f t="array" ref="AY29:AY40">IF($D$22="B&amp;M",
       ROUND(AX28:AX39*(1+$L29:$L40),0),
       ROUND(AY$26*($K29:$K40),0))</f>
        <v>961</v>
      </c>
      <c r="AZ29" s="348">
        <f t="shared" ref="AZ29:AZ40" si="47">IF(OR(((AY$26-AY$27)/13)-QUOTIENT(AY$26-AY$27,13)=0, ROUND(ABS(((AY$26-AY$27)/13))-ABS(QUOTIENT(AY$26-AY$27,13)),3)&lt;=ROUND((ROW(AY29)-ROW(AY$28))/13,3)),
         AY29+QUOTIENT(AY$26-AY$27,13),
         IF(AY$26-AY$27&gt;0,
               AY29+QUOTIENT(AY$26-AY$27,13)+1,
               AY29+QUOTIENT(AY$26-AY$27,13)-1))</f>
        <v>865</v>
      </c>
      <c r="BA29" s="348">
        <f t="array" ref="BA29:BA40">IF($D$22="B&amp;M",
       ROUND(AZ28:AZ39*(1+$L29:$L40),0),
       ROUND(BA$26*($K29:$K40),0))</f>
        <v>1015</v>
      </c>
      <c r="BB29" s="348">
        <f t="shared" ref="BB29:BB40" si="48">IF(OR(((BA$26-BA$27)/13)-QUOTIENT(BA$26-BA$27,13)=0, ROUND(ABS(((BA$26-BA$27)/13))-ABS(QUOTIENT(BA$26-BA$27,13)),3)&lt;=ROUND((ROW(BA29)-ROW(BA$28))/13,3)),
         BA29+QUOTIENT(BA$26-BA$27,13),
         IF(BA$26-BA$27&gt;0,
               BA29+QUOTIENT(BA$26-BA$27,13)+1,
               BA29+QUOTIENT(BA$26-BA$27,13)-1))</f>
        <v>903</v>
      </c>
      <c r="BC29" s="348">
        <f t="array" ref="BC29:BC40">IF($D$22="B&amp;M",
       ROUND(BB28:BB39*(1+$L29:$L40),0),
       ROUND(BC$26*($K29:$K40),0))</f>
        <v>1063</v>
      </c>
      <c r="BD29" s="531">
        <f t="shared" ref="BD29:BD40" si="49">IF(OR(((BC$26-BC$27)/13)-QUOTIENT(BC$26-BC$27,13)=0, ROUND(ABS(((BC$26-BC$27)/13))-ABS(QUOTIENT(BC$26-BC$27,13)),3)&lt;=ROUND((ROW(BC29)-ROW(BC$28))/13,3)),
         BC29+QUOTIENT(BC$26-BC$27,13),
         IF(BC$26-BC$27&gt;0,
               BC29+QUOTIENT(BC$26-BC$27,13)+1,
               BC29+QUOTIENT(BC$26-BC$27,13)-1))</f>
        <v>969</v>
      </c>
      <c r="BE29" s="393">
        <f t="array" ref="BE29:BE40">IF($D$22="B&amp;M",
       ROUND($J28:$J39*(1+$L29:$L40),0),
       ROUND(BE$26*($K29:$K40),0))</f>
        <v>852</v>
      </c>
      <c r="BF29" s="520">
        <f t="shared" ref="BF29:BF40" si="50">IF(OR(((BE$26-BE$27)/13)-QUOTIENT(BE$26-BE$27,13)=0, ROUND(ABS(((BE$26-BE$27)/13))-ABS(QUOTIENT(BE$26-BE$27,13)),3)&lt;=ROUND((ROW(BE29)-ROW(BE$28))/13,3)),
         BE29+QUOTIENT(BE$26-BE$27,13),
         IF(BE$26-BE$27&gt;0,
               BE29+QUOTIENT(BE$26-BE$27,13)+1,
               BE29+QUOTIENT(BE$26-BE$27,13)-1))</f>
        <v>797</v>
      </c>
      <c r="BG29" s="348">
        <f t="array" ref="BG29:BG40">IF($D$22="B&amp;M",
       ROUND(BF28:BF39*(1+$L29:$L40),0),
       ROUND(BG$26*($K29:$K40),0))</f>
        <v>930</v>
      </c>
      <c r="BH29" s="348">
        <f t="shared" ref="BH29:BH40" si="51">IF(OR(((BG$26-BG$27)/13)-QUOTIENT(BG$26-BG$27,13)=0, ROUND(ABS(((BG$26-BG$27)/13))-ABS(QUOTIENT(BG$26-BG$27,13)),3)&lt;=ROUND((ROW(BG29)-ROW(BG$28))/13,3)),
         BG29+QUOTIENT(BG$26-BG$27,13),
         IF(BG$26-BG$27&gt;0,
               BG29+QUOTIENT(BG$26-BG$27,13)+1,
               BG29+QUOTIENT(BG$26-BG$27,13)-1))</f>
        <v>872</v>
      </c>
      <c r="BI29" s="348">
        <f t="array" ref="BI29:BI40">IF($D$22="B&amp;M",
       ROUND(BH28:BH39*(1+$L29:$L40),0),
       ROUND(BI$26*($K29:$K40),0))</f>
        <v>991</v>
      </c>
      <c r="BJ29" s="348">
        <f t="shared" ref="BJ29:BJ40" si="52">IF(OR(((BI$26-BI$27)/13)-QUOTIENT(BI$26-BI$27,13)=0, ROUND(ABS(((BI$26-BI$27)/13))-ABS(QUOTIENT(BI$26-BI$27,13)),3)&lt;=ROUND((ROW(BI29)-ROW(BI$28))/13,3)),
         BI29+QUOTIENT(BI$26-BI$27,13),
         IF(BI$26-BI$27&gt;0,
               BI29+QUOTIENT(BI$26-BI$27,13)+1,
               BI29+QUOTIENT(BI$26-BI$27,13)-1))</f>
        <v>923</v>
      </c>
      <c r="BK29" s="348">
        <f t="array" ref="BK29:BK40">IF($D$22="B&amp;M",
       ROUND(BJ28:BJ39*(1+$L29:$L40),0),
       ROUND(BK$26*($K29:$K40),0))</f>
        <v>1046</v>
      </c>
      <c r="BL29" s="348">
        <f t="shared" ref="BL29:BL40" si="53">IF(OR(((BK$26-BK$27)/13)-QUOTIENT(BK$26-BK$27,13)=0, ROUND(ABS(((BK$26-BK$27)/13))-ABS(QUOTIENT(BK$26-BK$27,13)),3)&lt;=ROUND((ROW(BK29)-ROW(BK$28))/13,3)),
         BK29+QUOTIENT(BK$26-BK$27,13),
         IF(BK$26-BK$27&gt;0,
               BK29+QUOTIENT(BK$26-BK$27,13)+1,
               BK29+QUOTIENT(BK$26-BK$27,13)-1))</f>
        <v>960</v>
      </c>
      <c r="BM29" s="348">
        <f t="array" ref="BM29:BM40">IF($D$22="B&amp;M",
       ROUND(BL28:BL39*(1+$L29:$L40),0),
       ROUND(BM$26*($K29:$K40),0))</f>
        <v>1091</v>
      </c>
      <c r="BN29" s="531">
        <f t="shared" ref="BN29:BN40" si="54">IF(OR(((BM$26-BM$27)/13)-QUOTIENT(BM$26-BM$27,13)=0, ROUND(ABS(((BM$26-BM$27)/13))-ABS(QUOTIENT(BM$26-BM$27,13)),3)&lt;=ROUND((ROW(BM29)-ROW(BM$28))/13,3)),
         BM29+QUOTIENT(BM$26-BM$27,13),
         IF(BM$26-BM$27&gt;0,
               BM29+QUOTIENT(BM$26-BM$27,13)+1,
               BM29+QUOTIENT(BM$26-BM$27,13)-1))</f>
        <v>1022</v>
      </c>
      <c r="BO29" s="393">
        <f t="array" ref="BO29:BO40">IF($D$22="B&amp;M",
       ROUND($J28:$J39*(1+$L29:$L40),0),
       ROUND(BO$26*($K29:$K40),0))</f>
        <v>852</v>
      </c>
      <c r="BP29" s="520">
        <f t="shared" ref="BP29:BP40" si="55">IF(OR(((BO$26-BO$27)/13)-QUOTIENT(BO$26-BO$27,13)=0, ROUND(ABS(((BO$26-BO$27)/13))-ABS(QUOTIENT(BO$26-BO$27,13)),3)&lt;=ROUND((ROW(BO29)-ROW(BO$28))/13,3)),
         BO29+QUOTIENT(BO$26-BO$27,13),
         IF(BO$26-BO$27&gt;0,
               BO29+QUOTIENT(BO$26-BO$27,13)+1,
               BO29+QUOTIENT(BO$26-BO$27,13)-1))</f>
        <v>858</v>
      </c>
      <c r="BQ29" s="348">
        <f t="array" ref="BQ29:BQ40">IF($D$22="B&amp;M",
       ROUND(BP28:BP39*(1+$L29:$L40),0),
       ROUND(BQ$26*($K29:$K40),0))</f>
        <v>997</v>
      </c>
      <c r="BR29" s="348">
        <f t="shared" ref="BR29:BR40" si="56">IF(OR(((BQ$26-BQ$27)/13)-QUOTIENT(BQ$26-BQ$27,13)=0, ROUND(ABS(((BQ$26-BQ$27)/13))-ABS(QUOTIENT(BQ$26-BQ$27,13)),3)&lt;=ROUND((ROW(BQ29)-ROW(BQ$28))/13,3)),
         BQ29+QUOTIENT(BQ$26-BQ$27,13),
         IF(BQ$26-BQ$27&gt;0,
               BQ29+QUOTIENT(BQ$26-BQ$27,13)+1,
               BQ29+QUOTIENT(BQ$26-BQ$27,13)-1))</f>
        <v>997</v>
      </c>
      <c r="BS29" s="348">
        <f t="array" ref="BS29:BS40">IF($D$22="B&amp;M",
       ROUND(BR28:BR39*(1+$L29:$L40),0),
       ROUND(BS$26*($K29:$K40),0))</f>
        <v>1056</v>
      </c>
      <c r="BT29" s="348">
        <f t="shared" ref="BT29:BT40" si="57">IF(OR(((BS$26-BS$27)/13)-QUOTIENT(BS$26-BS$27,13)=0, ROUND(ABS(((BS$26-BS$27)/13))-ABS(QUOTIENT(BS$26-BS$27,13)),3)&lt;=ROUND((ROW(BS29)-ROW(BS$28))/13,3)),
         BS29+QUOTIENT(BS$26-BS$27,13),
         IF(BS$26-BS$27&gt;0,
               BS29+QUOTIENT(BS$26-BS$27,13)+1,
               BS29+QUOTIENT(BS$26-BS$27,13)-1))</f>
        <v>1043</v>
      </c>
      <c r="BU29" s="348">
        <f t="array" ref="BU29:BU40">IF($D$22="B&amp;M",
       ROUND(BT28:BT39*(1+$L29:$L40),0),
       ROUND(BU$26*($K29:$K40),0))</f>
        <v>1107</v>
      </c>
      <c r="BV29" s="348">
        <f t="shared" ref="BV29:BV40" si="58">IF(OR(((BU$26-BU$27)/13)-QUOTIENT(BU$26-BU$27,13)=0, ROUND(ABS(((BU$26-BU$27)/13))-ABS(QUOTIENT(BU$26-BU$27,13)),3)&lt;=ROUND((ROW(BU29)-ROW(BU$28))/13,3)),
         BU29+QUOTIENT(BU$26-BU$27,13),
         IF(BU$26-BU$27&gt;0,
               BU29+QUOTIENT(BU$26-BU$27,13)+1,
               BU29+QUOTIENT(BU$26-BU$27,13)-1))</f>
        <v>1073</v>
      </c>
      <c r="BW29" s="348">
        <f t="array" ref="BW29:BW40">IF($D$22="B&amp;M",
       ROUND(BV28:BV39*(1+$L29:$L40),0),
       ROUND(BW$26*($K29:$K40),0))</f>
        <v>1147</v>
      </c>
      <c r="BX29" s="531">
        <f t="shared" ref="BX29:BX40" si="59">IF(OR(((BW$26-BW$27)/13)-QUOTIENT(BW$26-BW$27,13)=0, ROUND(ABS(((BW$26-BW$27)/13))-ABS(QUOTIENT(BW$26-BW$27,13)),3)&lt;=ROUND((ROW(BW29)-ROW(BW$28))/13,3)),
         BW29+QUOTIENT(BW$26-BW$27,13),
         IF(BW$26-BW$27&gt;0,
               BW29+QUOTIENT(BW$26-BW$27,13)+1,
               BW29+QUOTIENT(BW$26-BW$27,13)-1))</f>
        <v>1126</v>
      </c>
    </row>
    <row r="30" spans="2:76" ht="15.75" customHeight="1" x14ac:dyDescent="0.3">
      <c r="B30" s="294" t="s">
        <v>383</v>
      </c>
      <c r="C30" s="294">
        <v>2</v>
      </c>
      <c r="D30" s="356">
        <v>427</v>
      </c>
      <c r="E30" s="357">
        <v>550.66666666666663</v>
      </c>
      <c r="F30" s="351">
        <v>567.5</v>
      </c>
      <c r="G30" s="352">
        <v>644.83333333333337</v>
      </c>
      <c r="H30" s="352">
        <v>781.83333333333337</v>
      </c>
      <c r="I30" s="352">
        <v>812.5</v>
      </c>
      <c r="J30" s="353">
        <v>842.83333333333337</v>
      </c>
      <c r="K30" s="393">
        <f t="array" ref="K30">AVERAGE(D30:J30/D$27:J$27)</f>
        <v>7.0605174122119904E-2</v>
      </c>
      <c r="L30" s="355">
        <f t="shared" ref="L30:L40" si="60">AVERAGEIF(D29:I29,"&lt;&gt;0",D43:I43)</f>
        <v>0.11573503753486541</v>
      </c>
      <c r="M30" s="355">
        <v>3</v>
      </c>
      <c r="N30" s="355"/>
      <c r="O30" s="355"/>
      <c r="P30" s="355"/>
      <c r="Q30" s="355"/>
      <c r="R30" s="355">
        <f t="shared" ref="R30:R40" si="61">INDEX($D$28:$I$39,$M30+R$4,R$4+7)</f>
        <v>783.16666666666663</v>
      </c>
      <c r="S30" s="355">
        <f t="shared" si="32"/>
        <v>801.33333333333337</v>
      </c>
      <c r="T30" s="354">
        <v>842.83333333333337</v>
      </c>
      <c r="U30" s="354"/>
      <c r="V30" s="354" t="str">
        <f t="shared" ref="V30:V40" si="62">IF(ISERROR(Z30),"Linear",IF(X30&gt;Z30,"Linear","Logarithmic"))</f>
        <v>Linear</v>
      </c>
      <c r="W30" s="354" t="str">
        <f>IF($D$22="B&amp;M","FALSE",
LINEST($D30:$J30,$N$4:$T$4))</f>
        <v>FALSE</v>
      </c>
      <c r="X30" s="394" t="e">
        <f t="shared" si="33"/>
        <v>#VALUE!</v>
      </c>
      <c r="Y30" s="354">
        <f t="shared" ref="Y30:Y33" si="63">ROUND(LOGEST($D30:$J30,$D$4:$J$4),6)</f>
        <v>1.118606</v>
      </c>
      <c r="Z30" s="394" t="e">
        <f t="shared" si="34"/>
        <v>#VALUE!</v>
      </c>
      <c r="AA30" s="348">
        <v>941</v>
      </c>
      <c r="AB30" s="520">
        <f t="shared" si="35"/>
        <v>826</v>
      </c>
      <c r="AC30" s="348">
        <v>822</v>
      </c>
      <c r="AD30" s="348">
        <f t="shared" si="35"/>
        <v>707</v>
      </c>
      <c r="AE30" s="348">
        <v>836</v>
      </c>
      <c r="AF30" s="348">
        <f t="shared" si="37"/>
        <v>713</v>
      </c>
      <c r="AG30" s="348">
        <v>899</v>
      </c>
      <c r="AH30" s="348">
        <f t="shared" si="38"/>
        <v>761</v>
      </c>
      <c r="AI30" s="348">
        <v>946</v>
      </c>
      <c r="AJ30" s="531">
        <f t="shared" si="39"/>
        <v>828</v>
      </c>
      <c r="AK30" s="393">
        <v>941</v>
      </c>
      <c r="AL30" s="520">
        <f t="shared" si="40"/>
        <v>841</v>
      </c>
      <c r="AM30" s="348">
        <v>839</v>
      </c>
      <c r="AN30" s="348">
        <f t="shared" si="41"/>
        <v>739</v>
      </c>
      <c r="AO30" s="348">
        <v>869</v>
      </c>
      <c r="AP30" s="348">
        <f t="shared" si="42"/>
        <v>760</v>
      </c>
      <c r="AQ30" s="348">
        <v>932</v>
      </c>
      <c r="AR30" s="348">
        <f t="shared" si="43"/>
        <v>807</v>
      </c>
      <c r="AS30" s="348">
        <v>976</v>
      </c>
      <c r="AT30" s="531">
        <f t="shared" si="44"/>
        <v>870</v>
      </c>
      <c r="AU30" s="393">
        <v>941</v>
      </c>
      <c r="AV30" s="520">
        <f t="shared" si="45"/>
        <v>856</v>
      </c>
      <c r="AW30" s="348">
        <v>856</v>
      </c>
      <c r="AX30" s="348">
        <f t="shared" si="46"/>
        <v>770</v>
      </c>
      <c r="AY30" s="348">
        <v>905</v>
      </c>
      <c r="AZ30" s="348">
        <f t="shared" si="47"/>
        <v>809</v>
      </c>
      <c r="BA30" s="348">
        <v>965</v>
      </c>
      <c r="BB30" s="348">
        <f t="shared" si="48"/>
        <v>853</v>
      </c>
      <c r="BC30" s="348">
        <v>1008</v>
      </c>
      <c r="BD30" s="531">
        <f t="shared" si="49"/>
        <v>914</v>
      </c>
      <c r="BE30" s="393">
        <v>941</v>
      </c>
      <c r="BF30" s="520">
        <f t="shared" si="50"/>
        <v>886</v>
      </c>
      <c r="BG30" s="348">
        <v>889</v>
      </c>
      <c r="BH30" s="348">
        <f t="shared" si="51"/>
        <v>831</v>
      </c>
      <c r="BI30" s="348">
        <v>973</v>
      </c>
      <c r="BJ30" s="348">
        <f t="shared" si="52"/>
        <v>905</v>
      </c>
      <c r="BK30" s="348">
        <v>1030</v>
      </c>
      <c r="BL30" s="348">
        <f t="shared" si="53"/>
        <v>944</v>
      </c>
      <c r="BM30" s="348">
        <v>1071</v>
      </c>
      <c r="BN30" s="531">
        <f t="shared" si="54"/>
        <v>1002</v>
      </c>
      <c r="BO30" s="393">
        <v>941</v>
      </c>
      <c r="BP30" s="520">
        <f t="shared" si="55"/>
        <v>947</v>
      </c>
      <c r="BQ30" s="348">
        <v>957</v>
      </c>
      <c r="BR30" s="348">
        <f t="shared" si="56"/>
        <v>957</v>
      </c>
      <c r="BS30" s="348">
        <v>1112</v>
      </c>
      <c r="BT30" s="348">
        <f t="shared" si="57"/>
        <v>1099</v>
      </c>
      <c r="BU30" s="348">
        <v>1164</v>
      </c>
      <c r="BV30" s="348">
        <f t="shared" si="58"/>
        <v>1130</v>
      </c>
      <c r="BW30" s="348">
        <v>1197</v>
      </c>
      <c r="BX30" s="531">
        <f t="shared" si="59"/>
        <v>1176</v>
      </c>
    </row>
    <row r="31" spans="2:76" ht="15.75" customHeight="1" x14ac:dyDescent="0.3">
      <c r="B31" s="294" t="s">
        <v>393</v>
      </c>
      <c r="C31" s="294">
        <v>3</v>
      </c>
      <c r="D31" s="358">
        <v>440.66666666666669</v>
      </c>
      <c r="E31" s="359">
        <v>529.16666666666663</v>
      </c>
      <c r="F31" s="357">
        <v>567.83333333333337</v>
      </c>
      <c r="G31" s="351">
        <v>594.66666666666663</v>
      </c>
      <c r="H31" s="352">
        <v>774.5</v>
      </c>
      <c r="I31" s="352">
        <v>769.33333333333337</v>
      </c>
      <c r="J31" s="353">
        <v>842.83333333333337</v>
      </c>
      <c r="K31" s="393">
        <f t="array" ref="K31">AVERAGE(D31:J31/D$27:J$27)</f>
        <v>6.9081244125564462E-2</v>
      </c>
      <c r="L31" s="355">
        <f t="shared" si="60"/>
        <v>9.0123688933155935E-2</v>
      </c>
      <c r="M31" s="355">
        <v>4</v>
      </c>
      <c r="N31" s="355"/>
      <c r="O31" s="355"/>
      <c r="P31" s="355"/>
      <c r="Q31" s="355">
        <f t="shared" ref="Q31:Q40" si="64">INDEX($D$28:$I$39,$M31+Q$4,Q$4+7)</f>
        <v>646.66666666666663</v>
      </c>
      <c r="R31" s="355">
        <f t="shared" si="61"/>
        <v>829</v>
      </c>
      <c r="S31" s="355">
        <f t="shared" si="32"/>
        <v>812.5</v>
      </c>
      <c r="T31" s="354">
        <v>842.83333333333337</v>
      </c>
      <c r="U31" s="354"/>
      <c r="V31" s="354" t="str">
        <f t="shared" si="62"/>
        <v>Linear</v>
      </c>
      <c r="W31" s="354" t="str">
        <f>IF($D$22="B&amp;M","FALSE",
LINEST($D31:$J31,$N$4:$T$4))</f>
        <v>FALSE</v>
      </c>
      <c r="X31" s="394" t="e">
        <f t="shared" si="33"/>
        <v>#VALUE!</v>
      </c>
      <c r="Y31" s="354">
        <f t="shared" si="63"/>
        <v>1.1132629999999999</v>
      </c>
      <c r="Z31" s="394" t="e">
        <f t="shared" si="34"/>
        <v>#VALUE!</v>
      </c>
      <c r="AA31" s="348">
        <v>919</v>
      </c>
      <c r="AB31" s="520">
        <f t="shared" si="35"/>
        <v>805</v>
      </c>
      <c r="AC31" s="348">
        <v>900</v>
      </c>
      <c r="AD31" s="348">
        <f t="shared" si="35"/>
        <v>785</v>
      </c>
      <c r="AE31" s="348">
        <v>771</v>
      </c>
      <c r="AF31" s="348">
        <f t="shared" si="37"/>
        <v>648</v>
      </c>
      <c r="AG31" s="348">
        <v>777</v>
      </c>
      <c r="AH31" s="348">
        <f t="shared" si="38"/>
        <v>639</v>
      </c>
      <c r="AI31" s="348">
        <v>830</v>
      </c>
      <c r="AJ31" s="531">
        <f t="shared" si="39"/>
        <v>712</v>
      </c>
      <c r="AK31" s="393">
        <v>919</v>
      </c>
      <c r="AL31" s="520">
        <f t="shared" si="40"/>
        <v>820</v>
      </c>
      <c r="AM31" s="348">
        <v>917</v>
      </c>
      <c r="AN31" s="348">
        <f t="shared" si="41"/>
        <v>817</v>
      </c>
      <c r="AO31" s="348">
        <v>806</v>
      </c>
      <c r="AP31" s="348">
        <f t="shared" si="42"/>
        <v>697</v>
      </c>
      <c r="AQ31" s="348">
        <v>828</v>
      </c>
      <c r="AR31" s="348">
        <f t="shared" si="43"/>
        <v>703</v>
      </c>
      <c r="AS31" s="348">
        <v>880</v>
      </c>
      <c r="AT31" s="531">
        <f t="shared" si="44"/>
        <v>774</v>
      </c>
      <c r="AU31" s="393">
        <v>919</v>
      </c>
      <c r="AV31" s="520">
        <f t="shared" si="45"/>
        <v>834</v>
      </c>
      <c r="AW31" s="348">
        <v>933</v>
      </c>
      <c r="AX31" s="348">
        <f t="shared" si="46"/>
        <v>847</v>
      </c>
      <c r="AY31" s="348">
        <v>839</v>
      </c>
      <c r="AZ31" s="348">
        <f t="shared" si="47"/>
        <v>743</v>
      </c>
      <c r="BA31" s="348">
        <v>882</v>
      </c>
      <c r="BB31" s="348">
        <f t="shared" si="48"/>
        <v>770</v>
      </c>
      <c r="BC31" s="348">
        <v>930</v>
      </c>
      <c r="BD31" s="531">
        <f t="shared" si="49"/>
        <v>837</v>
      </c>
      <c r="BE31" s="393">
        <v>919</v>
      </c>
      <c r="BF31" s="520">
        <f t="shared" si="50"/>
        <v>864</v>
      </c>
      <c r="BG31" s="348">
        <v>966</v>
      </c>
      <c r="BH31" s="348">
        <f t="shared" si="51"/>
        <v>908</v>
      </c>
      <c r="BI31" s="348">
        <v>906</v>
      </c>
      <c r="BJ31" s="348">
        <f t="shared" si="52"/>
        <v>838</v>
      </c>
      <c r="BK31" s="348">
        <v>987</v>
      </c>
      <c r="BL31" s="348">
        <f t="shared" si="53"/>
        <v>901</v>
      </c>
      <c r="BM31" s="348">
        <v>1029</v>
      </c>
      <c r="BN31" s="531">
        <f t="shared" si="54"/>
        <v>960</v>
      </c>
      <c r="BO31" s="393">
        <v>919</v>
      </c>
      <c r="BP31" s="520">
        <f t="shared" si="55"/>
        <v>925</v>
      </c>
      <c r="BQ31" s="348">
        <v>1032</v>
      </c>
      <c r="BR31" s="348">
        <f t="shared" si="56"/>
        <v>1032</v>
      </c>
      <c r="BS31" s="348">
        <v>1043</v>
      </c>
      <c r="BT31" s="348">
        <f t="shared" si="57"/>
        <v>1030</v>
      </c>
      <c r="BU31" s="348">
        <v>1198</v>
      </c>
      <c r="BV31" s="348">
        <f t="shared" si="58"/>
        <v>1164</v>
      </c>
      <c r="BW31" s="348">
        <v>1232</v>
      </c>
      <c r="BX31" s="531">
        <f t="shared" si="59"/>
        <v>1211</v>
      </c>
    </row>
    <row r="32" spans="2:76" ht="15.75" x14ac:dyDescent="0.3">
      <c r="B32" s="294" t="s">
        <v>384</v>
      </c>
      <c r="C32" s="294">
        <v>4</v>
      </c>
      <c r="D32" s="360">
        <v>427</v>
      </c>
      <c r="E32" s="361">
        <v>536.66666666666663</v>
      </c>
      <c r="F32" s="359">
        <v>548.5</v>
      </c>
      <c r="G32" s="357">
        <v>596.33333333333337</v>
      </c>
      <c r="H32" s="351">
        <v>751</v>
      </c>
      <c r="I32" s="352">
        <v>757.5</v>
      </c>
      <c r="J32" s="353">
        <v>801.66666666666663</v>
      </c>
      <c r="K32" s="393">
        <f t="array" ref="K32">AVERAGE(D32:J32/D$27:J$27)</f>
        <v>6.7668631052885439E-2</v>
      </c>
      <c r="L32" s="355">
        <f t="shared" si="60"/>
        <v>9.7924736320862002E-2</v>
      </c>
      <c r="M32" s="355">
        <v>5</v>
      </c>
      <c r="N32" s="355"/>
      <c r="O32" s="355"/>
      <c r="P32" s="355">
        <f t="shared" ref="P32:P40" si="65">INDEX($D$28:$I$39,$M32+P$4,P$4+7)</f>
        <v>607.66666666666663</v>
      </c>
      <c r="Q32" s="355">
        <f t="shared" si="64"/>
        <v>647.5</v>
      </c>
      <c r="R32" s="355">
        <f t="shared" si="61"/>
        <v>781.83333333333337</v>
      </c>
      <c r="S32" s="355">
        <f t="shared" si="32"/>
        <v>769.33333333333337</v>
      </c>
      <c r="T32" s="354">
        <v>801.66666666666663</v>
      </c>
      <c r="U32" s="354"/>
      <c r="V32" s="354" t="str">
        <f t="shared" si="62"/>
        <v>Linear</v>
      </c>
      <c r="W32" s="354" t="str">
        <f>IF($D$22="B&amp;M","FALSE",
LINEST($D32:$J32,$N$4:$T$4))</f>
        <v>FALSE</v>
      </c>
      <c r="X32" s="394" t="e">
        <f t="shared" si="33"/>
        <v>#VALUE!</v>
      </c>
      <c r="Y32" s="354">
        <f t="shared" si="63"/>
        <v>1.108857</v>
      </c>
      <c r="Z32" s="394" t="e">
        <f t="shared" si="34"/>
        <v>#VALUE!</v>
      </c>
      <c r="AA32" s="348">
        <v>925</v>
      </c>
      <c r="AB32" s="520">
        <f t="shared" si="35"/>
        <v>811</v>
      </c>
      <c r="AC32" s="348">
        <v>884</v>
      </c>
      <c r="AD32" s="348">
        <f t="shared" si="35"/>
        <v>769</v>
      </c>
      <c r="AE32" s="348">
        <v>862</v>
      </c>
      <c r="AF32" s="348">
        <f t="shared" si="37"/>
        <v>739</v>
      </c>
      <c r="AG32" s="348">
        <v>711</v>
      </c>
      <c r="AH32" s="348">
        <f t="shared" si="38"/>
        <v>573</v>
      </c>
      <c r="AI32" s="348">
        <v>702</v>
      </c>
      <c r="AJ32" s="531">
        <f t="shared" si="39"/>
        <v>584</v>
      </c>
      <c r="AK32" s="393">
        <v>925</v>
      </c>
      <c r="AL32" s="520">
        <f t="shared" si="40"/>
        <v>826</v>
      </c>
      <c r="AM32" s="348">
        <v>900</v>
      </c>
      <c r="AN32" s="348">
        <f t="shared" si="41"/>
        <v>800</v>
      </c>
      <c r="AO32" s="348">
        <v>897</v>
      </c>
      <c r="AP32" s="348">
        <f t="shared" si="42"/>
        <v>788</v>
      </c>
      <c r="AQ32" s="348">
        <v>765</v>
      </c>
      <c r="AR32" s="348">
        <f t="shared" si="43"/>
        <v>640</v>
      </c>
      <c r="AS32" s="348">
        <v>772</v>
      </c>
      <c r="AT32" s="531">
        <f t="shared" si="44"/>
        <v>666</v>
      </c>
      <c r="AU32" s="393">
        <v>925</v>
      </c>
      <c r="AV32" s="520">
        <f t="shared" si="45"/>
        <v>841</v>
      </c>
      <c r="AW32" s="348">
        <v>916</v>
      </c>
      <c r="AX32" s="348">
        <f t="shared" si="46"/>
        <v>830</v>
      </c>
      <c r="AY32" s="348">
        <v>930</v>
      </c>
      <c r="AZ32" s="348">
        <f t="shared" si="47"/>
        <v>835</v>
      </c>
      <c r="BA32" s="348">
        <v>816</v>
      </c>
      <c r="BB32" s="348">
        <f t="shared" si="48"/>
        <v>704</v>
      </c>
      <c r="BC32" s="348">
        <v>845</v>
      </c>
      <c r="BD32" s="531">
        <f t="shared" si="49"/>
        <v>752</v>
      </c>
      <c r="BE32" s="393">
        <v>925</v>
      </c>
      <c r="BF32" s="520">
        <f t="shared" si="50"/>
        <v>870</v>
      </c>
      <c r="BG32" s="348">
        <v>949</v>
      </c>
      <c r="BH32" s="348">
        <f t="shared" si="51"/>
        <v>891</v>
      </c>
      <c r="BI32" s="348">
        <v>997</v>
      </c>
      <c r="BJ32" s="348">
        <f t="shared" si="52"/>
        <v>929</v>
      </c>
      <c r="BK32" s="348">
        <v>920</v>
      </c>
      <c r="BL32" s="348">
        <f t="shared" si="53"/>
        <v>834</v>
      </c>
      <c r="BM32" s="348">
        <v>989</v>
      </c>
      <c r="BN32" s="531">
        <f t="shared" si="54"/>
        <v>920</v>
      </c>
      <c r="BO32" s="393">
        <v>925</v>
      </c>
      <c r="BP32" s="520">
        <f t="shared" si="55"/>
        <v>931</v>
      </c>
      <c r="BQ32" s="348">
        <v>1016</v>
      </c>
      <c r="BR32" s="348">
        <f t="shared" si="56"/>
        <v>1016</v>
      </c>
      <c r="BS32" s="348">
        <v>1133</v>
      </c>
      <c r="BT32" s="348">
        <f t="shared" si="57"/>
        <v>1120</v>
      </c>
      <c r="BU32" s="348">
        <v>1131</v>
      </c>
      <c r="BV32" s="348">
        <f t="shared" si="58"/>
        <v>1097</v>
      </c>
      <c r="BW32" s="348">
        <v>1278</v>
      </c>
      <c r="BX32" s="531">
        <f t="shared" si="59"/>
        <v>1257</v>
      </c>
    </row>
    <row r="33" spans="2:76" ht="15.75" x14ac:dyDescent="0.3">
      <c r="B33" s="294" t="s">
        <v>385</v>
      </c>
      <c r="C33" s="294">
        <v>5</v>
      </c>
      <c r="D33" s="362">
        <v>445.33333333333331</v>
      </c>
      <c r="E33" s="363">
        <v>586.33333333333337</v>
      </c>
      <c r="F33" s="361">
        <v>642</v>
      </c>
      <c r="G33" s="359">
        <v>656.33333333333337</v>
      </c>
      <c r="H33" s="357">
        <v>842</v>
      </c>
      <c r="I33" s="351">
        <v>851.66666666666663</v>
      </c>
      <c r="J33" s="353">
        <v>896.66666666666663</v>
      </c>
      <c r="K33" s="393">
        <f t="array" ref="K33">AVERAGE(D33:J33/D$27:J$27)</f>
        <v>7.5028656898986315E-2</v>
      </c>
      <c r="L33" s="355">
        <f t="shared" si="60"/>
        <v>0.24928998500963839</v>
      </c>
      <c r="M33" s="355">
        <v>6</v>
      </c>
      <c r="N33" s="355"/>
      <c r="O33" s="355">
        <f t="shared" ref="O33:O40" si="66">INDEX($D$28:$I$39,$M33+O$4,O$4+7)</f>
        <v>570.66666666666663</v>
      </c>
      <c r="P33" s="355">
        <f t="shared" si="65"/>
        <v>582.66666666666663</v>
      </c>
      <c r="Q33" s="355">
        <f t="shared" si="64"/>
        <v>644.83333333333337</v>
      </c>
      <c r="R33" s="355">
        <f t="shared" si="61"/>
        <v>774.5</v>
      </c>
      <c r="S33" s="355">
        <f t="shared" si="32"/>
        <v>757.5</v>
      </c>
      <c r="T33" s="354">
        <v>896.66666666666663</v>
      </c>
      <c r="U33" s="354"/>
      <c r="V33" s="354" t="str">
        <f t="shared" si="62"/>
        <v>Linear</v>
      </c>
      <c r="W33" s="354" t="str">
        <f>IF($D$22="B&amp;M","FALSE",
LINEST($D33:$J33,$N$4:$T$4))</f>
        <v>FALSE</v>
      </c>
      <c r="X33" s="394" t="e">
        <f t="shared" si="33"/>
        <v>#VALUE!</v>
      </c>
      <c r="Y33" s="354">
        <f t="shared" si="63"/>
        <v>1.1177699999999999</v>
      </c>
      <c r="Z33" s="394" t="e">
        <f t="shared" si="34"/>
        <v>#VALUE!</v>
      </c>
      <c r="AA33" s="348">
        <v>1002</v>
      </c>
      <c r="AB33" s="520">
        <f t="shared" si="35"/>
        <v>888</v>
      </c>
      <c r="AC33" s="348">
        <v>1013</v>
      </c>
      <c r="AD33" s="348">
        <f t="shared" si="35"/>
        <v>898</v>
      </c>
      <c r="AE33" s="348">
        <v>961</v>
      </c>
      <c r="AF33" s="348">
        <f t="shared" si="37"/>
        <v>838</v>
      </c>
      <c r="AG33" s="348">
        <v>923</v>
      </c>
      <c r="AH33" s="348">
        <f t="shared" si="38"/>
        <v>785</v>
      </c>
      <c r="AI33" s="348">
        <v>716</v>
      </c>
      <c r="AJ33" s="531">
        <f t="shared" si="39"/>
        <v>598</v>
      </c>
      <c r="AK33" s="393">
        <v>1002</v>
      </c>
      <c r="AL33" s="520">
        <f t="shared" si="40"/>
        <v>903</v>
      </c>
      <c r="AM33" s="348">
        <v>1032</v>
      </c>
      <c r="AN33" s="348">
        <f t="shared" si="41"/>
        <v>932</v>
      </c>
      <c r="AO33" s="348">
        <v>999</v>
      </c>
      <c r="AP33" s="348">
        <f t="shared" si="42"/>
        <v>890</v>
      </c>
      <c r="AQ33" s="348">
        <v>984</v>
      </c>
      <c r="AR33" s="348">
        <f t="shared" si="43"/>
        <v>859</v>
      </c>
      <c r="AS33" s="348">
        <v>800</v>
      </c>
      <c r="AT33" s="531">
        <f t="shared" si="44"/>
        <v>694</v>
      </c>
      <c r="AU33" s="393">
        <v>1002</v>
      </c>
      <c r="AV33" s="520">
        <f t="shared" si="45"/>
        <v>918</v>
      </c>
      <c r="AW33" s="348">
        <v>1051</v>
      </c>
      <c r="AX33" s="348">
        <f t="shared" si="46"/>
        <v>965</v>
      </c>
      <c r="AY33" s="348">
        <v>1037</v>
      </c>
      <c r="AZ33" s="348">
        <f t="shared" si="47"/>
        <v>942</v>
      </c>
      <c r="BA33" s="348">
        <v>1043</v>
      </c>
      <c r="BB33" s="348">
        <f t="shared" si="48"/>
        <v>931</v>
      </c>
      <c r="BC33" s="348">
        <v>880</v>
      </c>
      <c r="BD33" s="531">
        <f t="shared" si="49"/>
        <v>787</v>
      </c>
      <c r="BE33" s="393">
        <v>1002</v>
      </c>
      <c r="BF33" s="520">
        <f t="shared" si="50"/>
        <v>948</v>
      </c>
      <c r="BG33" s="348">
        <v>1087</v>
      </c>
      <c r="BH33" s="348">
        <f t="shared" si="51"/>
        <v>1030</v>
      </c>
      <c r="BI33" s="348">
        <v>1113</v>
      </c>
      <c r="BJ33" s="348">
        <f t="shared" si="52"/>
        <v>1045</v>
      </c>
      <c r="BK33" s="348">
        <v>1161</v>
      </c>
      <c r="BL33" s="348">
        <f t="shared" si="53"/>
        <v>1075</v>
      </c>
      <c r="BM33" s="348">
        <v>1042</v>
      </c>
      <c r="BN33" s="531">
        <f t="shared" si="54"/>
        <v>973</v>
      </c>
      <c r="BO33" s="393">
        <v>1002</v>
      </c>
      <c r="BP33" s="520">
        <f t="shared" si="55"/>
        <v>1007</v>
      </c>
      <c r="BQ33" s="348">
        <v>1163</v>
      </c>
      <c r="BR33" s="348">
        <f t="shared" si="56"/>
        <v>1163</v>
      </c>
      <c r="BS33" s="348">
        <v>1269</v>
      </c>
      <c r="BT33" s="348">
        <f t="shared" si="57"/>
        <v>1256</v>
      </c>
      <c r="BU33" s="348">
        <v>1399</v>
      </c>
      <c r="BV33" s="348">
        <f t="shared" si="58"/>
        <v>1365</v>
      </c>
      <c r="BW33" s="348">
        <v>1370</v>
      </c>
      <c r="BX33" s="531">
        <f t="shared" si="59"/>
        <v>1349</v>
      </c>
    </row>
    <row r="34" spans="2:76" ht="15.75" x14ac:dyDescent="0.3">
      <c r="B34" s="294" t="s">
        <v>394</v>
      </c>
      <c r="C34" s="294">
        <v>6</v>
      </c>
      <c r="D34" s="364">
        <v>450.33333333333331</v>
      </c>
      <c r="E34" s="365">
        <v>584.66666666666663</v>
      </c>
      <c r="F34" s="363">
        <v>683.16666666666663</v>
      </c>
      <c r="G34" s="361">
        <v>718.5</v>
      </c>
      <c r="H34" s="359">
        <v>968.33333333333337</v>
      </c>
      <c r="I34" s="357">
        <v>1028.1666666666667</v>
      </c>
      <c r="J34" s="366">
        <v>1052.5</v>
      </c>
      <c r="K34" s="393">
        <f t="array" ref="K34">AVERAGE(D34:J34/D$27:J$27)</f>
        <v>8.2472975481926766E-2</v>
      </c>
      <c r="L34" s="355">
        <f t="shared" si="60"/>
        <v>0.25491077971706194</v>
      </c>
      <c r="M34" s="347">
        <v>7</v>
      </c>
      <c r="N34" s="347">
        <f t="shared" ref="N34:N40" si="67">INDEX($D$28:$I$39,$M34+N$4,N$4+7)</f>
        <v>441.66666666666669</v>
      </c>
      <c r="O34" s="347">
        <f t="shared" si="66"/>
        <v>515.83333333333337</v>
      </c>
      <c r="P34" s="347">
        <f t="shared" si="65"/>
        <v>567.5</v>
      </c>
      <c r="Q34" s="347">
        <f t="shared" si="64"/>
        <v>594.66666666666663</v>
      </c>
      <c r="R34" s="347">
        <f t="shared" si="61"/>
        <v>751</v>
      </c>
      <c r="S34" s="347">
        <f t="shared" si="32"/>
        <v>851.66666666666663</v>
      </c>
      <c r="T34" s="347">
        <v>1052.5</v>
      </c>
      <c r="U34" s="347"/>
      <c r="V34" s="347" t="str">
        <f t="shared" si="62"/>
        <v>Logarithmic</v>
      </c>
      <c r="W34" s="347">
        <f t="shared" ref="W34:W40" si="68">IF($D$22="B&amp;M",LINEST($N34:$T34,$N$4:$T$4),
LINEST($D34:$J34,$N$4:$T$4))</f>
        <v>95.988095238095212</v>
      </c>
      <c r="X34" s="395">
        <f t="shared" si="33"/>
        <v>0.93159650657735071</v>
      </c>
      <c r="Y34" s="347">
        <f t="shared" ref="Y34:Y40" si="69">IF($D$22="B&amp;M",LOGEST($N34:$T34,$N$4:$T$4),
LOGEST($D34:$J34,$N$4:$T$4))</f>
        <v>1.1489637363970475</v>
      </c>
      <c r="Z34" s="395">
        <f t="shared" si="34"/>
        <v>0.97307319198978948</v>
      </c>
      <c r="AA34" s="367">
        <v>1125</v>
      </c>
      <c r="AB34" s="521">
        <f t="shared" si="35"/>
        <v>1011</v>
      </c>
      <c r="AC34" s="367">
        <v>1114</v>
      </c>
      <c r="AD34" s="367">
        <f t="shared" si="35"/>
        <v>1000</v>
      </c>
      <c r="AE34" s="367">
        <v>1127</v>
      </c>
      <c r="AF34" s="367">
        <f t="shared" si="37"/>
        <v>1004</v>
      </c>
      <c r="AG34" s="367">
        <v>1052</v>
      </c>
      <c r="AH34" s="367">
        <f t="shared" si="38"/>
        <v>914</v>
      </c>
      <c r="AI34" s="367">
        <v>985</v>
      </c>
      <c r="AJ34" s="532">
        <f t="shared" si="39"/>
        <v>868</v>
      </c>
      <c r="AK34" s="393">
        <v>1125</v>
      </c>
      <c r="AL34" s="521">
        <f t="shared" si="40"/>
        <v>1026</v>
      </c>
      <c r="AM34" s="367">
        <v>1133</v>
      </c>
      <c r="AN34" s="367">
        <f t="shared" si="41"/>
        <v>1033</v>
      </c>
      <c r="AO34" s="367">
        <v>1170</v>
      </c>
      <c r="AP34" s="367">
        <f t="shared" si="42"/>
        <v>1061</v>
      </c>
      <c r="AQ34" s="367">
        <v>1117</v>
      </c>
      <c r="AR34" s="367">
        <f t="shared" si="43"/>
        <v>992</v>
      </c>
      <c r="AS34" s="367">
        <v>1078</v>
      </c>
      <c r="AT34" s="532">
        <f t="shared" si="44"/>
        <v>973</v>
      </c>
      <c r="AU34" s="393">
        <v>1125</v>
      </c>
      <c r="AV34" s="521">
        <f t="shared" si="45"/>
        <v>1041</v>
      </c>
      <c r="AW34" s="367">
        <v>1152</v>
      </c>
      <c r="AX34" s="367">
        <f t="shared" si="46"/>
        <v>1066</v>
      </c>
      <c r="AY34" s="367">
        <v>1211</v>
      </c>
      <c r="AZ34" s="367">
        <f t="shared" si="47"/>
        <v>1116</v>
      </c>
      <c r="BA34" s="367">
        <v>1182</v>
      </c>
      <c r="BB34" s="367">
        <f t="shared" si="48"/>
        <v>1070</v>
      </c>
      <c r="BC34" s="367">
        <v>1168</v>
      </c>
      <c r="BD34" s="532">
        <f t="shared" si="49"/>
        <v>1075</v>
      </c>
      <c r="BE34" s="393">
        <v>1125</v>
      </c>
      <c r="BF34" s="521">
        <f t="shared" si="50"/>
        <v>1071</v>
      </c>
      <c r="BG34" s="367">
        <v>1190</v>
      </c>
      <c r="BH34" s="367">
        <f t="shared" si="51"/>
        <v>1133</v>
      </c>
      <c r="BI34" s="367">
        <v>1293</v>
      </c>
      <c r="BJ34" s="367">
        <f t="shared" si="52"/>
        <v>1225</v>
      </c>
      <c r="BK34" s="367">
        <v>1311</v>
      </c>
      <c r="BL34" s="367">
        <f t="shared" si="53"/>
        <v>1225</v>
      </c>
      <c r="BM34" s="367">
        <v>1349</v>
      </c>
      <c r="BN34" s="532">
        <f t="shared" si="54"/>
        <v>1280</v>
      </c>
      <c r="BO34" s="393">
        <v>1125</v>
      </c>
      <c r="BP34" s="521">
        <f t="shared" si="55"/>
        <v>1130</v>
      </c>
      <c r="BQ34" s="367">
        <v>1264</v>
      </c>
      <c r="BR34" s="367">
        <f t="shared" si="56"/>
        <v>1264</v>
      </c>
      <c r="BS34" s="367">
        <v>1459</v>
      </c>
      <c r="BT34" s="367">
        <f t="shared" si="57"/>
        <v>1446</v>
      </c>
      <c r="BU34" s="367">
        <v>1576</v>
      </c>
      <c r="BV34" s="367">
        <f t="shared" si="58"/>
        <v>1542</v>
      </c>
      <c r="BW34" s="367">
        <v>1713</v>
      </c>
      <c r="BX34" s="532">
        <f t="shared" si="59"/>
        <v>1692</v>
      </c>
    </row>
    <row r="35" spans="2:76" ht="15.75" x14ac:dyDescent="0.3">
      <c r="B35" s="294" t="s">
        <v>386</v>
      </c>
      <c r="C35" s="294">
        <v>7</v>
      </c>
      <c r="D35" s="368">
        <v>529.66666666666663</v>
      </c>
      <c r="E35" s="369">
        <v>628.66666666666663</v>
      </c>
      <c r="F35" s="365">
        <v>747.16666666666663</v>
      </c>
      <c r="G35" s="363">
        <v>760.33333333333337</v>
      </c>
      <c r="H35" s="361">
        <v>989.5</v>
      </c>
      <c r="I35" s="359">
        <v>1037.6666666666667</v>
      </c>
      <c r="J35" s="370">
        <v>1057.1666666666667</v>
      </c>
      <c r="K35" s="393">
        <f t="array" ref="K35">AVERAGE(D35:J35/D$27:J$27)</f>
        <v>8.7366552576478546E-2</v>
      </c>
      <c r="L35" s="355">
        <f t="shared" si="60"/>
        <v>0.21064573126757383</v>
      </c>
      <c r="M35" s="371">
        <v>8</v>
      </c>
      <c r="N35" s="371">
        <f t="shared" si="67"/>
        <v>441.16666666666669</v>
      </c>
      <c r="O35" s="371">
        <f t="shared" si="66"/>
        <v>550.66666666666663</v>
      </c>
      <c r="P35" s="371">
        <f t="shared" si="65"/>
        <v>567.83333333333337</v>
      </c>
      <c r="Q35" s="371">
        <f t="shared" si="64"/>
        <v>596.33333333333337</v>
      </c>
      <c r="R35" s="371">
        <f t="shared" si="61"/>
        <v>842</v>
      </c>
      <c r="S35" s="371">
        <f t="shared" si="32"/>
        <v>1028.1666666666667</v>
      </c>
      <c r="T35" s="371">
        <v>1057.1666666666667</v>
      </c>
      <c r="U35" s="371"/>
      <c r="V35" s="371" t="str">
        <f t="shared" si="62"/>
        <v>Logarithmic</v>
      </c>
      <c r="W35" s="371">
        <f t="shared" si="68"/>
        <v>109.89880952380953</v>
      </c>
      <c r="X35" s="371">
        <f t="shared" si="33"/>
        <v>0.91862524698796055</v>
      </c>
      <c r="Y35" s="371">
        <f t="shared" si="69"/>
        <v>1.1645150522406271</v>
      </c>
      <c r="Z35" s="371">
        <f t="shared" si="34"/>
        <v>0.94007374787908471</v>
      </c>
      <c r="AA35" s="372">
        <v>1274</v>
      </c>
      <c r="AB35" s="522">
        <f t="shared" si="35"/>
        <v>1160</v>
      </c>
      <c r="AC35" s="367">
        <v>1224</v>
      </c>
      <c r="AD35" s="367">
        <f t="shared" si="35"/>
        <v>1110</v>
      </c>
      <c r="AE35" s="367">
        <v>1211</v>
      </c>
      <c r="AF35" s="367">
        <f t="shared" si="37"/>
        <v>1088</v>
      </c>
      <c r="AG35" s="367">
        <v>1215</v>
      </c>
      <c r="AH35" s="367">
        <f t="shared" si="38"/>
        <v>1077</v>
      </c>
      <c r="AI35" s="367">
        <v>1107</v>
      </c>
      <c r="AJ35" s="532">
        <f t="shared" si="39"/>
        <v>990</v>
      </c>
      <c r="AK35" s="393">
        <v>1274</v>
      </c>
      <c r="AL35" s="522">
        <f t="shared" si="40"/>
        <v>1175</v>
      </c>
      <c r="AM35" s="367">
        <v>1242</v>
      </c>
      <c r="AN35" s="367">
        <f t="shared" si="41"/>
        <v>1142</v>
      </c>
      <c r="AO35" s="367">
        <v>1251</v>
      </c>
      <c r="AP35" s="367">
        <f t="shared" si="42"/>
        <v>1142</v>
      </c>
      <c r="AQ35" s="367">
        <v>1284</v>
      </c>
      <c r="AR35" s="367">
        <f t="shared" si="43"/>
        <v>1159</v>
      </c>
      <c r="AS35" s="367">
        <v>1201</v>
      </c>
      <c r="AT35" s="532">
        <f t="shared" si="44"/>
        <v>1096</v>
      </c>
      <c r="AU35" s="393">
        <v>1274</v>
      </c>
      <c r="AV35" s="522">
        <f t="shared" si="45"/>
        <v>1190</v>
      </c>
      <c r="AW35" s="367">
        <v>1260</v>
      </c>
      <c r="AX35" s="367">
        <f t="shared" si="46"/>
        <v>1174</v>
      </c>
      <c r="AY35" s="367">
        <v>1291</v>
      </c>
      <c r="AZ35" s="367">
        <f t="shared" si="47"/>
        <v>1196</v>
      </c>
      <c r="BA35" s="367">
        <v>1351</v>
      </c>
      <c r="BB35" s="367">
        <f t="shared" si="48"/>
        <v>1239</v>
      </c>
      <c r="BC35" s="367">
        <v>1295</v>
      </c>
      <c r="BD35" s="532">
        <f t="shared" si="49"/>
        <v>1202</v>
      </c>
      <c r="BE35" s="393">
        <v>1274</v>
      </c>
      <c r="BF35" s="522">
        <f t="shared" si="50"/>
        <v>1220</v>
      </c>
      <c r="BG35" s="367">
        <v>1297</v>
      </c>
      <c r="BH35" s="367">
        <f t="shared" si="51"/>
        <v>1240</v>
      </c>
      <c r="BI35" s="367">
        <v>1372</v>
      </c>
      <c r="BJ35" s="367">
        <f t="shared" si="52"/>
        <v>1304</v>
      </c>
      <c r="BK35" s="367">
        <v>1483</v>
      </c>
      <c r="BL35" s="367">
        <f t="shared" si="53"/>
        <v>1397</v>
      </c>
      <c r="BM35" s="367">
        <v>1483</v>
      </c>
      <c r="BN35" s="532">
        <f t="shared" si="54"/>
        <v>1414</v>
      </c>
      <c r="BO35" s="393">
        <v>1274</v>
      </c>
      <c r="BP35" s="522">
        <f t="shared" si="55"/>
        <v>1279</v>
      </c>
      <c r="BQ35" s="367">
        <v>1368</v>
      </c>
      <c r="BR35" s="367">
        <f t="shared" si="56"/>
        <v>1368</v>
      </c>
      <c r="BS35" s="367">
        <v>1530</v>
      </c>
      <c r="BT35" s="367">
        <f t="shared" si="57"/>
        <v>1517</v>
      </c>
      <c r="BU35" s="367">
        <v>1751</v>
      </c>
      <c r="BV35" s="367">
        <f t="shared" si="58"/>
        <v>1717</v>
      </c>
      <c r="BW35" s="367">
        <v>1867</v>
      </c>
      <c r="BX35" s="532">
        <f t="shared" si="59"/>
        <v>1846</v>
      </c>
    </row>
    <row r="36" spans="2:76" ht="15.75" x14ac:dyDescent="0.3">
      <c r="B36" s="294" t="s">
        <v>387</v>
      </c>
      <c r="C36" s="294">
        <v>8</v>
      </c>
      <c r="D36" s="368">
        <v>491.33333333333331</v>
      </c>
      <c r="E36" s="352">
        <v>608.16666666666663</v>
      </c>
      <c r="F36" s="369">
        <v>668.5</v>
      </c>
      <c r="G36" s="365">
        <v>730.16666666666663</v>
      </c>
      <c r="H36" s="363">
        <v>970.66666666666663</v>
      </c>
      <c r="I36" s="361">
        <v>1000</v>
      </c>
      <c r="J36" s="373">
        <v>1039</v>
      </c>
      <c r="K36" s="393">
        <f t="array" ref="K36">AVERAGE(D36:J36/D$27:J$27)</f>
        <v>8.336146175175943E-2</v>
      </c>
      <c r="L36" s="355">
        <f t="shared" si="60"/>
        <v>7.9557469954884552E-2</v>
      </c>
      <c r="M36" s="374">
        <v>9</v>
      </c>
      <c r="N36" s="374">
        <f t="shared" si="67"/>
        <v>427</v>
      </c>
      <c r="O36" s="374">
        <f t="shared" si="66"/>
        <v>529.16666666666663</v>
      </c>
      <c r="P36" s="374">
        <f t="shared" si="65"/>
        <v>548.5</v>
      </c>
      <c r="Q36" s="374">
        <f t="shared" si="64"/>
        <v>656.33333333333337</v>
      </c>
      <c r="R36" s="374">
        <f t="shared" si="61"/>
        <v>968.33333333333337</v>
      </c>
      <c r="S36" s="374">
        <f t="shared" si="32"/>
        <v>1037.6666666666667</v>
      </c>
      <c r="T36" s="374">
        <v>1039</v>
      </c>
      <c r="U36" s="374"/>
      <c r="V36" s="374" t="str">
        <f t="shared" si="62"/>
        <v>Logarithmic</v>
      </c>
      <c r="W36" s="374">
        <f t="shared" si="68"/>
        <v>116.88690476190477</v>
      </c>
      <c r="X36" s="374">
        <f t="shared" si="33"/>
        <v>0.9192895665744919</v>
      </c>
      <c r="Y36" s="374">
        <f t="shared" si="69"/>
        <v>1.1778328001285314</v>
      </c>
      <c r="Z36" s="374">
        <f t="shared" si="34"/>
        <v>0.93492020491084604</v>
      </c>
      <c r="AA36" s="375">
        <v>1141</v>
      </c>
      <c r="AB36" s="523">
        <f t="shared" si="35"/>
        <v>1027</v>
      </c>
      <c r="AC36" s="372">
        <v>1252</v>
      </c>
      <c r="AD36" s="372">
        <f t="shared" si="35"/>
        <v>1138</v>
      </c>
      <c r="AE36" s="367">
        <v>1198</v>
      </c>
      <c r="AF36" s="367">
        <f t="shared" si="37"/>
        <v>1075</v>
      </c>
      <c r="AG36" s="367">
        <v>1175</v>
      </c>
      <c r="AH36" s="367">
        <f t="shared" si="38"/>
        <v>1037</v>
      </c>
      <c r="AI36" s="367">
        <v>1163</v>
      </c>
      <c r="AJ36" s="532">
        <f t="shared" si="39"/>
        <v>1046</v>
      </c>
      <c r="AK36" s="393">
        <v>1141</v>
      </c>
      <c r="AL36" s="523">
        <f t="shared" si="40"/>
        <v>1042</v>
      </c>
      <c r="AM36" s="372">
        <v>1268</v>
      </c>
      <c r="AN36" s="372">
        <f t="shared" si="41"/>
        <v>1168</v>
      </c>
      <c r="AO36" s="367">
        <v>1233</v>
      </c>
      <c r="AP36" s="367">
        <f t="shared" si="42"/>
        <v>1124</v>
      </c>
      <c r="AQ36" s="367">
        <v>1233</v>
      </c>
      <c r="AR36" s="367">
        <f t="shared" si="43"/>
        <v>1108</v>
      </c>
      <c r="AS36" s="367">
        <v>1251</v>
      </c>
      <c r="AT36" s="532">
        <f t="shared" si="44"/>
        <v>1146</v>
      </c>
      <c r="AU36" s="393">
        <v>1141</v>
      </c>
      <c r="AV36" s="523">
        <f t="shared" si="45"/>
        <v>1057</v>
      </c>
      <c r="AW36" s="372">
        <v>1285</v>
      </c>
      <c r="AX36" s="372">
        <f t="shared" si="46"/>
        <v>1199</v>
      </c>
      <c r="AY36" s="367">
        <v>1267</v>
      </c>
      <c r="AZ36" s="367">
        <f t="shared" si="47"/>
        <v>1172</v>
      </c>
      <c r="BA36" s="367">
        <v>1291</v>
      </c>
      <c r="BB36" s="367">
        <f t="shared" si="48"/>
        <v>1179</v>
      </c>
      <c r="BC36" s="367">
        <v>1338</v>
      </c>
      <c r="BD36" s="532">
        <f t="shared" si="49"/>
        <v>1245</v>
      </c>
      <c r="BE36" s="393">
        <v>1141</v>
      </c>
      <c r="BF36" s="523">
        <f t="shared" si="50"/>
        <v>1087</v>
      </c>
      <c r="BG36" s="372">
        <v>1317</v>
      </c>
      <c r="BH36" s="372">
        <f t="shared" si="51"/>
        <v>1260</v>
      </c>
      <c r="BI36" s="367">
        <v>1339</v>
      </c>
      <c r="BJ36" s="367">
        <f t="shared" si="52"/>
        <v>1271</v>
      </c>
      <c r="BK36" s="367">
        <v>1408</v>
      </c>
      <c r="BL36" s="367">
        <f t="shared" si="53"/>
        <v>1322</v>
      </c>
      <c r="BM36" s="367">
        <v>1508</v>
      </c>
      <c r="BN36" s="532">
        <f t="shared" si="54"/>
        <v>1439</v>
      </c>
      <c r="BO36" s="393">
        <v>1141</v>
      </c>
      <c r="BP36" s="523">
        <f t="shared" si="55"/>
        <v>1146</v>
      </c>
      <c r="BQ36" s="372">
        <v>1381</v>
      </c>
      <c r="BR36" s="372">
        <f t="shared" si="56"/>
        <v>1381</v>
      </c>
      <c r="BS36" s="367">
        <v>1477</v>
      </c>
      <c r="BT36" s="367">
        <f t="shared" si="57"/>
        <v>1464</v>
      </c>
      <c r="BU36" s="367">
        <v>1638</v>
      </c>
      <c r="BV36" s="367">
        <f t="shared" si="58"/>
        <v>1604</v>
      </c>
      <c r="BW36" s="367">
        <v>1854</v>
      </c>
      <c r="BX36" s="532">
        <f t="shared" si="59"/>
        <v>1833</v>
      </c>
    </row>
    <row r="37" spans="2:76" ht="15.75" x14ac:dyDescent="0.3">
      <c r="B37" s="294" t="s">
        <v>388</v>
      </c>
      <c r="C37" s="294">
        <v>9</v>
      </c>
      <c r="D37" s="368">
        <v>600.66666666666663</v>
      </c>
      <c r="E37" s="352">
        <v>705.16666666666663</v>
      </c>
      <c r="F37" s="352">
        <v>918.66666666666663</v>
      </c>
      <c r="G37" s="369">
        <v>833.5</v>
      </c>
      <c r="H37" s="365">
        <v>1072.5</v>
      </c>
      <c r="I37" s="363">
        <v>1037.8333333333333</v>
      </c>
      <c r="J37" s="376">
        <v>958.83333333333337</v>
      </c>
      <c r="K37" s="393">
        <f t="array" ref="K37">AVERAGE(D37:J37/D$27:J$27)</f>
        <v>9.437239901289983E-2</v>
      </c>
      <c r="L37" s="355">
        <f t="shared" si="60"/>
        <v>0.28157581356369143</v>
      </c>
      <c r="M37" s="377">
        <v>10</v>
      </c>
      <c r="N37" s="377">
        <f t="shared" si="67"/>
        <v>440.66666666666669</v>
      </c>
      <c r="O37" s="377">
        <f t="shared" si="66"/>
        <v>536.66666666666663</v>
      </c>
      <c r="P37" s="377">
        <f t="shared" si="65"/>
        <v>642</v>
      </c>
      <c r="Q37" s="377">
        <f t="shared" si="64"/>
        <v>718.5</v>
      </c>
      <c r="R37" s="377">
        <f t="shared" si="61"/>
        <v>989.5</v>
      </c>
      <c r="S37" s="377">
        <f t="shared" si="32"/>
        <v>1000</v>
      </c>
      <c r="T37" s="377">
        <v>958.83333333333337</v>
      </c>
      <c r="U37" s="377"/>
      <c r="V37" s="377" t="str">
        <f t="shared" si="62"/>
        <v>Logarithmic</v>
      </c>
      <c r="W37" s="377">
        <f t="shared" si="68"/>
        <v>101.02380952380953</v>
      </c>
      <c r="X37" s="377">
        <f t="shared" si="33"/>
        <v>0.90106383101187704</v>
      </c>
      <c r="Y37" s="377">
        <f t="shared" si="69"/>
        <v>1.153962766871687</v>
      </c>
      <c r="Z37" s="377">
        <f t="shared" si="34"/>
        <v>0.90926681483318927</v>
      </c>
      <c r="AA37" s="378">
        <v>1332</v>
      </c>
      <c r="AB37" s="524">
        <f t="shared" si="35"/>
        <v>1218</v>
      </c>
      <c r="AC37" s="375">
        <v>1316</v>
      </c>
      <c r="AD37" s="375">
        <f t="shared" si="35"/>
        <v>1202</v>
      </c>
      <c r="AE37" s="372">
        <v>1458</v>
      </c>
      <c r="AF37" s="372">
        <f t="shared" si="37"/>
        <v>1336</v>
      </c>
      <c r="AG37" s="367">
        <v>1378</v>
      </c>
      <c r="AH37" s="367">
        <f t="shared" si="38"/>
        <v>1240</v>
      </c>
      <c r="AI37" s="367">
        <v>1329</v>
      </c>
      <c r="AJ37" s="532">
        <f t="shared" si="39"/>
        <v>1212</v>
      </c>
      <c r="AK37" s="393">
        <v>1332</v>
      </c>
      <c r="AL37" s="524">
        <f t="shared" si="40"/>
        <v>1233</v>
      </c>
      <c r="AM37" s="375">
        <v>1335</v>
      </c>
      <c r="AN37" s="375">
        <f t="shared" si="41"/>
        <v>1235</v>
      </c>
      <c r="AO37" s="372">
        <v>1497</v>
      </c>
      <c r="AP37" s="372">
        <f t="shared" si="42"/>
        <v>1388</v>
      </c>
      <c r="AQ37" s="367">
        <v>1440</v>
      </c>
      <c r="AR37" s="367">
        <f t="shared" si="43"/>
        <v>1315</v>
      </c>
      <c r="AS37" s="367">
        <v>1420</v>
      </c>
      <c r="AT37" s="532">
        <f t="shared" si="44"/>
        <v>1315</v>
      </c>
      <c r="AU37" s="393">
        <v>1332</v>
      </c>
      <c r="AV37" s="524">
        <f t="shared" si="45"/>
        <v>1248</v>
      </c>
      <c r="AW37" s="375">
        <v>1355</v>
      </c>
      <c r="AX37" s="375">
        <f t="shared" si="46"/>
        <v>1269</v>
      </c>
      <c r="AY37" s="372">
        <v>1537</v>
      </c>
      <c r="AZ37" s="372">
        <f t="shared" si="47"/>
        <v>1442</v>
      </c>
      <c r="BA37" s="367">
        <v>1502</v>
      </c>
      <c r="BB37" s="367">
        <f t="shared" si="48"/>
        <v>1390</v>
      </c>
      <c r="BC37" s="367">
        <v>1511</v>
      </c>
      <c r="BD37" s="532">
        <f t="shared" si="49"/>
        <v>1418</v>
      </c>
      <c r="BE37" s="393">
        <v>1332</v>
      </c>
      <c r="BF37" s="524">
        <f t="shared" si="50"/>
        <v>1278</v>
      </c>
      <c r="BG37" s="375">
        <v>1393</v>
      </c>
      <c r="BH37" s="375">
        <f t="shared" si="51"/>
        <v>1336</v>
      </c>
      <c r="BI37" s="372">
        <v>1615</v>
      </c>
      <c r="BJ37" s="372">
        <f t="shared" si="52"/>
        <v>1547</v>
      </c>
      <c r="BK37" s="367">
        <v>1629</v>
      </c>
      <c r="BL37" s="367">
        <f t="shared" si="53"/>
        <v>1543</v>
      </c>
      <c r="BM37" s="367">
        <v>1694</v>
      </c>
      <c r="BN37" s="532">
        <f t="shared" si="54"/>
        <v>1625</v>
      </c>
      <c r="BO37" s="393">
        <v>1332</v>
      </c>
      <c r="BP37" s="524">
        <f t="shared" si="55"/>
        <v>1337</v>
      </c>
      <c r="BQ37" s="375">
        <v>1469</v>
      </c>
      <c r="BR37" s="375">
        <f t="shared" si="56"/>
        <v>1469</v>
      </c>
      <c r="BS37" s="372">
        <v>1770</v>
      </c>
      <c r="BT37" s="372">
        <f t="shared" si="57"/>
        <v>1757</v>
      </c>
      <c r="BU37" s="367">
        <v>1876</v>
      </c>
      <c r="BV37" s="367">
        <f t="shared" si="58"/>
        <v>1842</v>
      </c>
      <c r="BW37" s="367">
        <v>2056</v>
      </c>
      <c r="BX37" s="532">
        <f t="shared" si="59"/>
        <v>2036</v>
      </c>
    </row>
    <row r="38" spans="2:76" ht="15.75" x14ac:dyDescent="0.3">
      <c r="B38" s="294" t="s">
        <v>389</v>
      </c>
      <c r="C38" s="294">
        <v>10</v>
      </c>
      <c r="D38" s="368">
        <v>503.83333333333331</v>
      </c>
      <c r="E38" s="352">
        <v>597</v>
      </c>
      <c r="F38" s="352">
        <v>804.5</v>
      </c>
      <c r="G38" s="352">
        <v>726</v>
      </c>
      <c r="H38" s="369">
        <v>953.5</v>
      </c>
      <c r="I38" s="365">
        <v>961.66666666666663</v>
      </c>
      <c r="J38" s="379">
        <v>972.16666666666663</v>
      </c>
      <c r="K38" s="393">
        <f t="array" ref="K38">AVERAGE(D38:J38/D$27:J$27)</f>
        <v>8.4100993374684227E-2</v>
      </c>
      <c r="L38" s="355">
        <f t="shared" si="60"/>
        <v>-1.6267710745586323E-2</v>
      </c>
      <c r="M38" s="380">
        <v>11</v>
      </c>
      <c r="N38" s="380">
        <f t="shared" si="67"/>
        <v>427</v>
      </c>
      <c r="O38" s="380">
        <f t="shared" si="66"/>
        <v>586.33333333333337</v>
      </c>
      <c r="P38" s="380">
        <f t="shared" si="65"/>
        <v>683.16666666666663</v>
      </c>
      <c r="Q38" s="380">
        <f t="shared" si="64"/>
        <v>760.33333333333337</v>
      </c>
      <c r="R38" s="380">
        <f t="shared" si="61"/>
        <v>970.66666666666663</v>
      </c>
      <c r="S38" s="380">
        <f t="shared" si="32"/>
        <v>1037.8333333333333</v>
      </c>
      <c r="T38" s="380">
        <v>972.16666666666663</v>
      </c>
      <c r="U38" s="380"/>
      <c r="V38" s="380" t="str">
        <f t="shared" si="62"/>
        <v>Linear</v>
      </c>
      <c r="W38" s="380">
        <f t="shared" si="68"/>
        <v>100.92857142857139</v>
      </c>
      <c r="X38" s="380">
        <f t="shared" si="33"/>
        <v>0.91545112550975083</v>
      </c>
      <c r="Y38" s="380">
        <f t="shared" si="69"/>
        <v>1.1519790304068287</v>
      </c>
      <c r="Z38" s="380">
        <f t="shared" si="34"/>
        <v>0.89557749520926844</v>
      </c>
      <c r="AA38" s="381">
        <v>943</v>
      </c>
      <c r="AB38" s="525">
        <f t="shared" si="35"/>
        <v>829</v>
      </c>
      <c r="AC38" s="378">
        <v>1198</v>
      </c>
      <c r="AD38" s="378">
        <f t="shared" si="35"/>
        <v>1084</v>
      </c>
      <c r="AE38" s="375">
        <v>1182</v>
      </c>
      <c r="AF38" s="375">
        <f t="shared" si="37"/>
        <v>1060</v>
      </c>
      <c r="AG38" s="372">
        <v>1314</v>
      </c>
      <c r="AH38" s="372">
        <f t="shared" si="38"/>
        <v>1177</v>
      </c>
      <c r="AI38" s="367">
        <v>1220</v>
      </c>
      <c r="AJ38" s="532">
        <f t="shared" si="39"/>
        <v>1103</v>
      </c>
      <c r="AK38" s="393">
        <v>943</v>
      </c>
      <c r="AL38" s="525">
        <f t="shared" si="40"/>
        <v>844</v>
      </c>
      <c r="AM38" s="378">
        <v>1213</v>
      </c>
      <c r="AN38" s="378">
        <f t="shared" si="41"/>
        <v>1113</v>
      </c>
      <c r="AO38" s="375">
        <v>1215</v>
      </c>
      <c r="AP38" s="375">
        <f t="shared" si="42"/>
        <v>1106</v>
      </c>
      <c r="AQ38" s="372">
        <v>1365</v>
      </c>
      <c r="AR38" s="372">
        <f t="shared" si="43"/>
        <v>1241</v>
      </c>
      <c r="AS38" s="367">
        <v>1294</v>
      </c>
      <c r="AT38" s="532">
        <f t="shared" si="44"/>
        <v>1189</v>
      </c>
      <c r="AU38" s="393">
        <v>943</v>
      </c>
      <c r="AV38" s="525">
        <f t="shared" si="45"/>
        <v>859</v>
      </c>
      <c r="AW38" s="378">
        <v>1228</v>
      </c>
      <c r="AX38" s="378">
        <f t="shared" si="46"/>
        <v>1142</v>
      </c>
      <c r="AY38" s="375">
        <v>1248</v>
      </c>
      <c r="AZ38" s="375">
        <f t="shared" si="47"/>
        <v>1153</v>
      </c>
      <c r="BA38" s="372">
        <v>1419</v>
      </c>
      <c r="BB38" s="372">
        <f t="shared" si="48"/>
        <v>1307</v>
      </c>
      <c r="BC38" s="367">
        <v>1367</v>
      </c>
      <c r="BD38" s="532">
        <f t="shared" si="49"/>
        <v>1274</v>
      </c>
      <c r="BE38" s="393">
        <v>943</v>
      </c>
      <c r="BF38" s="525">
        <f t="shared" si="50"/>
        <v>889</v>
      </c>
      <c r="BG38" s="378">
        <v>1257</v>
      </c>
      <c r="BH38" s="378">
        <f t="shared" si="51"/>
        <v>1200</v>
      </c>
      <c r="BI38" s="375">
        <v>1314</v>
      </c>
      <c r="BJ38" s="375">
        <f t="shared" si="52"/>
        <v>1246</v>
      </c>
      <c r="BK38" s="372">
        <v>1522</v>
      </c>
      <c r="BL38" s="372">
        <f t="shared" si="53"/>
        <v>1437</v>
      </c>
      <c r="BM38" s="367">
        <v>1518</v>
      </c>
      <c r="BN38" s="532">
        <f t="shared" si="54"/>
        <v>1449</v>
      </c>
      <c r="BO38" s="393">
        <v>943</v>
      </c>
      <c r="BP38" s="525">
        <f t="shared" si="55"/>
        <v>948</v>
      </c>
      <c r="BQ38" s="378">
        <v>1315</v>
      </c>
      <c r="BR38" s="378">
        <f t="shared" si="56"/>
        <v>1315</v>
      </c>
      <c r="BS38" s="375">
        <v>1445</v>
      </c>
      <c r="BT38" s="375">
        <f t="shared" si="57"/>
        <v>1432</v>
      </c>
      <c r="BU38" s="372">
        <v>1728</v>
      </c>
      <c r="BV38" s="372">
        <f t="shared" si="58"/>
        <v>1694</v>
      </c>
      <c r="BW38" s="367">
        <v>1812</v>
      </c>
      <c r="BX38" s="532">
        <f t="shared" si="59"/>
        <v>1792</v>
      </c>
    </row>
    <row r="39" spans="2:76" ht="15.75" x14ac:dyDescent="0.3">
      <c r="B39" s="294" t="s">
        <v>390</v>
      </c>
      <c r="C39" s="294">
        <v>11</v>
      </c>
      <c r="D39" s="368">
        <v>438.33333333333331</v>
      </c>
      <c r="E39" s="352">
        <v>524</v>
      </c>
      <c r="F39" s="352">
        <v>703.83333333333337</v>
      </c>
      <c r="G39" s="352">
        <v>649.66666666666663</v>
      </c>
      <c r="H39" s="352">
        <v>820.16666666666663</v>
      </c>
      <c r="I39" s="369">
        <v>837.5</v>
      </c>
      <c r="J39" s="382">
        <v>895.5</v>
      </c>
      <c r="K39" s="393">
        <f t="array" ref="K39">AVERAGE(D39:J39/D$27:J$27)</f>
        <v>7.4106281732482002E-2</v>
      </c>
      <c r="L39" s="355">
        <f t="shared" si="60"/>
        <v>-5.7062289039028951E-3</v>
      </c>
      <c r="M39" s="383">
        <v>12</v>
      </c>
      <c r="N39" s="383">
        <f t="shared" si="67"/>
        <v>445.33333333333331</v>
      </c>
      <c r="O39" s="383">
        <f t="shared" si="66"/>
        <v>584.66666666666663</v>
      </c>
      <c r="P39" s="383">
        <f t="shared" si="65"/>
        <v>747.16666666666663</v>
      </c>
      <c r="Q39" s="383">
        <f t="shared" si="64"/>
        <v>730.16666666666663</v>
      </c>
      <c r="R39" s="383">
        <f t="shared" si="61"/>
        <v>1072.5</v>
      </c>
      <c r="S39" s="383">
        <f t="shared" si="32"/>
        <v>961.66666666666663</v>
      </c>
      <c r="T39" s="383">
        <v>895.5</v>
      </c>
      <c r="U39" s="383"/>
      <c r="V39" s="383" t="str">
        <f t="shared" si="62"/>
        <v>Logarithmic</v>
      </c>
      <c r="W39" s="383">
        <f t="shared" si="68"/>
        <v>86.779761904761884</v>
      </c>
      <c r="X39" s="383">
        <f t="shared" si="33"/>
        <v>0.73845658381763002</v>
      </c>
      <c r="Y39" s="383">
        <f t="shared" si="69"/>
        <v>1.1312232869462204</v>
      </c>
      <c r="Z39" s="383">
        <f t="shared" si="34"/>
        <v>0.76619112393281308</v>
      </c>
      <c r="AA39" s="384">
        <v>967</v>
      </c>
      <c r="AB39" s="526">
        <f t="shared" si="35"/>
        <v>853</v>
      </c>
      <c r="AC39" s="381">
        <v>824</v>
      </c>
      <c r="AD39" s="381">
        <f t="shared" si="35"/>
        <v>710</v>
      </c>
      <c r="AE39" s="378">
        <v>1078</v>
      </c>
      <c r="AF39" s="378">
        <f t="shared" si="37"/>
        <v>956</v>
      </c>
      <c r="AG39" s="375">
        <v>1054</v>
      </c>
      <c r="AH39" s="375">
        <f t="shared" si="38"/>
        <v>917</v>
      </c>
      <c r="AI39" s="372">
        <v>1170</v>
      </c>
      <c r="AJ39" s="533">
        <f t="shared" si="39"/>
        <v>1053</v>
      </c>
      <c r="AK39" s="393">
        <v>967</v>
      </c>
      <c r="AL39" s="526">
        <f t="shared" si="40"/>
        <v>868</v>
      </c>
      <c r="AM39" s="381">
        <v>839</v>
      </c>
      <c r="AN39" s="381">
        <f t="shared" si="41"/>
        <v>739</v>
      </c>
      <c r="AO39" s="378">
        <v>1107</v>
      </c>
      <c r="AP39" s="378">
        <f t="shared" si="42"/>
        <v>998</v>
      </c>
      <c r="AQ39" s="375">
        <v>1100</v>
      </c>
      <c r="AR39" s="375">
        <f t="shared" si="43"/>
        <v>976</v>
      </c>
      <c r="AS39" s="372">
        <v>1234</v>
      </c>
      <c r="AT39" s="533">
        <f t="shared" si="44"/>
        <v>1129</v>
      </c>
      <c r="AU39" s="393">
        <v>967</v>
      </c>
      <c r="AV39" s="526">
        <f t="shared" si="45"/>
        <v>883</v>
      </c>
      <c r="AW39" s="381">
        <v>854</v>
      </c>
      <c r="AX39" s="381">
        <f t="shared" si="46"/>
        <v>768</v>
      </c>
      <c r="AY39" s="378">
        <v>1135</v>
      </c>
      <c r="AZ39" s="378">
        <f t="shared" si="47"/>
        <v>1040</v>
      </c>
      <c r="BA39" s="375">
        <v>1146</v>
      </c>
      <c r="BB39" s="375">
        <f t="shared" si="48"/>
        <v>1034</v>
      </c>
      <c r="BC39" s="372">
        <v>1300</v>
      </c>
      <c r="BD39" s="533">
        <f t="shared" si="49"/>
        <v>1207</v>
      </c>
      <c r="BE39" s="393">
        <v>967</v>
      </c>
      <c r="BF39" s="526">
        <f t="shared" si="50"/>
        <v>913</v>
      </c>
      <c r="BG39" s="381">
        <v>884</v>
      </c>
      <c r="BH39" s="381">
        <f t="shared" si="51"/>
        <v>827</v>
      </c>
      <c r="BI39" s="378">
        <v>1193</v>
      </c>
      <c r="BJ39" s="378">
        <f t="shared" si="52"/>
        <v>1126</v>
      </c>
      <c r="BK39" s="375">
        <v>1239</v>
      </c>
      <c r="BL39" s="375">
        <f t="shared" si="53"/>
        <v>1154</v>
      </c>
      <c r="BM39" s="372">
        <v>1429</v>
      </c>
      <c r="BN39" s="533">
        <f t="shared" si="54"/>
        <v>1360</v>
      </c>
      <c r="BO39" s="393">
        <v>967</v>
      </c>
      <c r="BP39" s="526">
        <f t="shared" si="55"/>
        <v>972</v>
      </c>
      <c r="BQ39" s="381">
        <v>943</v>
      </c>
      <c r="BR39" s="381">
        <f t="shared" si="56"/>
        <v>943</v>
      </c>
      <c r="BS39" s="378">
        <v>1307</v>
      </c>
      <c r="BT39" s="378">
        <f t="shared" si="57"/>
        <v>1294</v>
      </c>
      <c r="BU39" s="375">
        <v>1424</v>
      </c>
      <c r="BV39" s="375">
        <f t="shared" si="58"/>
        <v>1390</v>
      </c>
      <c r="BW39" s="372">
        <v>1684</v>
      </c>
      <c r="BX39" s="533">
        <f t="shared" si="59"/>
        <v>1664</v>
      </c>
    </row>
    <row r="40" spans="2:76" ht="16.5" thickBot="1" x14ac:dyDescent="0.35">
      <c r="B40" s="294" t="s">
        <v>391</v>
      </c>
      <c r="C40" s="294">
        <v>12</v>
      </c>
      <c r="D40" s="385">
        <v>382.5</v>
      </c>
      <c r="E40" s="386">
        <v>519.66666666666663</v>
      </c>
      <c r="F40" s="386">
        <v>684.33333333333337</v>
      </c>
      <c r="G40" s="386">
        <v>611.66666666666663</v>
      </c>
      <c r="H40" s="386">
        <v>756.33333333333337</v>
      </c>
      <c r="I40" s="386">
        <v>791</v>
      </c>
      <c r="J40" s="387">
        <v>826.83333333333337</v>
      </c>
      <c r="K40" s="393">
        <f t="array" ref="K40">AVERAGE(D40:J40/D$27:J$27)</f>
        <v>6.954713499235729E-2</v>
      </c>
      <c r="L40" s="355">
        <f t="shared" si="60"/>
        <v>7.9411663168125979E-2</v>
      </c>
      <c r="M40" s="389">
        <v>13</v>
      </c>
      <c r="N40" s="389">
        <f t="shared" si="67"/>
        <v>450.33333333333331</v>
      </c>
      <c r="O40" s="389">
        <f t="shared" si="66"/>
        <v>628.66666666666663</v>
      </c>
      <c r="P40" s="389">
        <f t="shared" si="65"/>
        <v>668.5</v>
      </c>
      <c r="Q40" s="389">
        <f t="shared" si="64"/>
        <v>833.5</v>
      </c>
      <c r="R40" s="389">
        <f t="shared" si="61"/>
        <v>953.5</v>
      </c>
      <c r="S40" s="389">
        <f t="shared" si="32"/>
        <v>837.5</v>
      </c>
      <c r="T40" s="389">
        <v>826.83333333333337</v>
      </c>
      <c r="U40" s="389"/>
      <c r="V40" s="389" t="str">
        <f t="shared" si="62"/>
        <v>Logarithmic</v>
      </c>
      <c r="W40" s="389">
        <f t="shared" si="68"/>
        <v>65.43452380952381</v>
      </c>
      <c r="X40" s="389">
        <f t="shared" si="33"/>
        <v>0.69405434143604861</v>
      </c>
      <c r="Y40" s="389">
        <f t="shared" si="69"/>
        <v>1.1032617477640008</v>
      </c>
      <c r="Z40" s="389">
        <f t="shared" si="34"/>
        <v>0.70009791419088219</v>
      </c>
      <c r="AA40" s="396">
        <v>967</v>
      </c>
      <c r="AB40" s="527">
        <f t="shared" si="35"/>
        <v>853</v>
      </c>
      <c r="AC40" s="528">
        <v>921</v>
      </c>
      <c r="AD40" s="528">
        <f t="shared" si="35"/>
        <v>807</v>
      </c>
      <c r="AE40" s="529">
        <v>766</v>
      </c>
      <c r="AF40" s="529">
        <f t="shared" si="37"/>
        <v>644</v>
      </c>
      <c r="AG40" s="530">
        <v>1032</v>
      </c>
      <c r="AH40" s="530">
        <f t="shared" si="38"/>
        <v>895</v>
      </c>
      <c r="AI40" s="391">
        <v>990</v>
      </c>
      <c r="AJ40" s="534">
        <f t="shared" si="39"/>
        <v>873</v>
      </c>
      <c r="AK40" s="393">
        <v>967</v>
      </c>
      <c r="AL40" s="527">
        <f t="shared" si="40"/>
        <v>868</v>
      </c>
      <c r="AM40" s="528">
        <v>937</v>
      </c>
      <c r="AN40" s="528">
        <f t="shared" si="41"/>
        <v>837</v>
      </c>
      <c r="AO40" s="529">
        <v>798</v>
      </c>
      <c r="AP40" s="529">
        <f t="shared" si="42"/>
        <v>689</v>
      </c>
      <c r="AQ40" s="530">
        <v>1077</v>
      </c>
      <c r="AR40" s="530">
        <f t="shared" si="43"/>
        <v>953</v>
      </c>
      <c r="AS40" s="391">
        <v>1054</v>
      </c>
      <c r="AT40" s="534">
        <f t="shared" si="44"/>
        <v>949</v>
      </c>
      <c r="AU40" s="393">
        <v>967</v>
      </c>
      <c r="AV40" s="527">
        <f t="shared" si="45"/>
        <v>883</v>
      </c>
      <c r="AW40" s="528">
        <v>953</v>
      </c>
      <c r="AX40" s="528">
        <f t="shared" si="46"/>
        <v>867</v>
      </c>
      <c r="AY40" s="529">
        <v>829</v>
      </c>
      <c r="AZ40" s="529">
        <f t="shared" si="47"/>
        <v>734</v>
      </c>
      <c r="BA40" s="530">
        <v>1123</v>
      </c>
      <c r="BB40" s="530">
        <f t="shared" si="48"/>
        <v>1012</v>
      </c>
      <c r="BC40" s="391">
        <v>1116</v>
      </c>
      <c r="BD40" s="534">
        <f t="shared" si="49"/>
        <v>1023</v>
      </c>
      <c r="BE40" s="393">
        <v>967</v>
      </c>
      <c r="BF40" s="527">
        <f t="shared" si="50"/>
        <v>913</v>
      </c>
      <c r="BG40" s="528">
        <v>986</v>
      </c>
      <c r="BH40" s="528">
        <f t="shared" si="51"/>
        <v>929</v>
      </c>
      <c r="BI40" s="529">
        <v>893</v>
      </c>
      <c r="BJ40" s="529">
        <f t="shared" si="52"/>
        <v>826</v>
      </c>
      <c r="BK40" s="530">
        <v>1215</v>
      </c>
      <c r="BL40" s="530">
        <f t="shared" si="53"/>
        <v>1130</v>
      </c>
      <c r="BM40" s="391">
        <v>1246</v>
      </c>
      <c r="BN40" s="534">
        <f t="shared" si="54"/>
        <v>1178</v>
      </c>
      <c r="BO40" s="393">
        <v>967</v>
      </c>
      <c r="BP40" s="527">
        <f t="shared" si="55"/>
        <v>972</v>
      </c>
      <c r="BQ40" s="528">
        <v>1049</v>
      </c>
      <c r="BR40" s="528">
        <f t="shared" si="56"/>
        <v>1049</v>
      </c>
      <c r="BS40" s="529">
        <v>1018</v>
      </c>
      <c r="BT40" s="529">
        <f t="shared" si="57"/>
        <v>1005</v>
      </c>
      <c r="BU40" s="530">
        <v>1397</v>
      </c>
      <c r="BV40" s="530">
        <f t="shared" si="58"/>
        <v>1363</v>
      </c>
      <c r="BW40" s="391">
        <v>1500</v>
      </c>
      <c r="BX40" s="534">
        <f t="shared" si="59"/>
        <v>1480</v>
      </c>
    </row>
    <row r="41" spans="2:76" x14ac:dyDescent="0.25">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K41" s="299"/>
      <c r="AL41" s="299"/>
      <c r="AM41" s="299"/>
      <c r="AN41" s="299"/>
      <c r="AO41" s="299"/>
      <c r="AP41" s="299"/>
      <c r="AQ41" s="299"/>
      <c r="AR41" s="299"/>
      <c r="AS41" s="299"/>
      <c r="AU41" s="299"/>
      <c r="AV41" s="299"/>
      <c r="AW41" s="299"/>
      <c r="AX41" s="299"/>
      <c r="AY41" s="299"/>
      <c r="AZ41" s="299"/>
      <c r="BA41" s="299"/>
      <c r="BB41" s="299"/>
      <c r="BC41" s="299"/>
    </row>
    <row r="42" spans="2:76" ht="15" hidden="1" customHeight="1" x14ac:dyDescent="0.25">
      <c r="D42">
        <f t="array" ref="D42:I53">(E29:J40/D28:I39)-1</f>
        <v>0.16792452830188687</v>
      </c>
      <c r="E42">
        <v>2.1028037383177489E-2</v>
      </c>
      <c r="F42">
        <v>6.55512890839276E-2</v>
      </c>
      <c r="G42">
        <v>0.28195876288659805</v>
      </c>
      <c r="H42">
        <v>2.3196424771227964E-2</v>
      </c>
      <c r="I42" s="299">
        <v>3.4334763948497882E-2</v>
      </c>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K42" s="299"/>
      <c r="AL42" s="299"/>
      <c r="AM42" s="299"/>
      <c r="AN42" s="299"/>
      <c r="AO42" s="299"/>
      <c r="AP42" s="299"/>
      <c r="AQ42" s="299"/>
      <c r="AR42" s="299"/>
      <c r="AS42" s="299"/>
      <c r="AU42" s="299"/>
      <c r="AV42" s="299"/>
      <c r="AW42" s="299"/>
      <c r="AX42" s="299"/>
      <c r="AY42" s="299"/>
      <c r="AZ42" s="299"/>
      <c r="BA42" s="299"/>
      <c r="BB42" s="299"/>
      <c r="BC42" s="299"/>
    </row>
    <row r="43" spans="2:76" ht="15" hidden="1" customHeight="1" x14ac:dyDescent="0.25">
      <c r="D43">
        <v>0.24820551567812599</v>
      </c>
      <c r="E43">
        <v>0.10016155088852985</v>
      </c>
      <c r="F43">
        <v>0.10669336384439365</v>
      </c>
      <c r="G43">
        <v>0.2074646074646076</v>
      </c>
      <c r="H43">
        <v>-1.9903498190591118E-2</v>
      </c>
      <c r="I43">
        <v>5.1788685524126521E-2</v>
      </c>
    </row>
    <row r="44" spans="2:76" ht="15" hidden="1" customHeight="1" x14ac:dyDescent="0.25">
      <c r="D44">
        <v>0.23926619828259166</v>
      </c>
      <c r="E44">
        <v>3.1174334140436022E-2</v>
      </c>
      <c r="F44">
        <v>4.7870778267254055E-2</v>
      </c>
      <c r="G44">
        <v>0.20108555182217613</v>
      </c>
      <c r="H44">
        <v>-1.5988062246855672E-2</v>
      </c>
      <c r="I44">
        <v>3.7333333333333441E-2</v>
      </c>
    </row>
    <row r="45" spans="2:76" ht="15" hidden="1" customHeight="1" x14ac:dyDescent="0.25">
      <c r="D45">
        <v>0.21785173978819961</v>
      </c>
      <c r="E45">
        <v>3.6535433070866263E-2</v>
      </c>
      <c r="F45">
        <v>5.0190783680657436E-2</v>
      </c>
      <c r="G45">
        <v>0.26289237668161447</v>
      </c>
      <c r="H45">
        <v>-2.1949644932214296E-2</v>
      </c>
      <c r="I45">
        <v>4.2027729636048505E-2</v>
      </c>
    </row>
    <row r="46" spans="2:76" ht="15" hidden="1" customHeight="1" x14ac:dyDescent="0.25">
      <c r="D46">
        <v>0.37314597970335694</v>
      </c>
      <c r="E46">
        <v>0.19627329192546594</v>
      </c>
      <c r="F46">
        <v>0.19659677909450024</v>
      </c>
      <c r="G46">
        <v>0.41196198993851296</v>
      </c>
      <c r="H46">
        <v>0.13404349755881051</v>
      </c>
      <c r="I46">
        <v>0.18371837183718376</v>
      </c>
    </row>
    <row r="47" spans="2:76" ht="15" hidden="1" customHeight="1" x14ac:dyDescent="0.25">
      <c r="D47">
        <v>0.31287425149700598</v>
      </c>
      <c r="E47">
        <v>0.16515065378055693</v>
      </c>
      <c r="F47">
        <v>0.11915887850467288</v>
      </c>
      <c r="G47">
        <v>0.47536820721178263</v>
      </c>
      <c r="H47">
        <v>0.22110055423594632</v>
      </c>
      <c r="I47">
        <v>0.235812133072407</v>
      </c>
    </row>
    <row r="48" spans="2:76" ht="15" hidden="1" customHeight="1" x14ac:dyDescent="0.25">
      <c r="D48">
        <v>0.39600296076980013</v>
      </c>
      <c r="E48">
        <v>0.27793614595210947</v>
      </c>
      <c r="F48">
        <v>0.11295437911685791</v>
      </c>
      <c r="G48">
        <v>0.37717466945024358</v>
      </c>
      <c r="H48">
        <v>7.1600688468158369E-2</v>
      </c>
      <c r="I48">
        <v>2.8205543848273562E-2</v>
      </c>
    </row>
    <row r="49" spans="2:28" ht="15" hidden="1" customHeight="1" x14ac:dyDescent="0.25">
      <c r="D49">
        <v>0.14820641913152932</v>
      </c>
      <c r="E49">
        <v>6.3361611876988411E-2</v>
      </c>
      <c r="F49">
        <v>-2.2752621012714691E-2</v>
      </c>
      <c r="G49">
        <v>0.27663305567733443</v>
      </c>
      <c r="H49">
        <v>1.0611419909045017E-2</v>
      </c>
      <c r="I49">
        <v>1.2849341471248277E-3</v>
      </c>
    </row>
    <row r="50" spans="2:28" ht="15" hidden="1" customHeight="1" x14ac:dyDescent="0.25">
      <c r="D50">
        <v>0.4352103120759836</v>
      </c>
      <c r="E50">
        <v>0.51055083584543715</v>
      </c>
      <c r="F50">
        <v>0.24682124158563945</v>
      </c>
      <c r="G50">
        <v>0.46884272997032639</v>
      </c>
      <c r="H50">
        <v>6.9196428571428603E-2</v>
      </c>
      <c r="I50">
        <v>-4.1166666666666574E-2</v>
      </c>
    </row>
    <row r="51" spans="2:28" ht="15" hidden="1" customHeight="1" x14ac:dyDescent="0.25">
      <c r="D51">
        <v>-6.1043285238623346E-3</v>
      </c>
      <c r="E51">
        <v>0.14086504372488773</v>
      </c>
      <c r="F51">
        <v>-0.20972423802612483</v>
      </c>
      <c r="G51">
        <v>0.14397120575884825</v>
      </c>
      <c r="H51">
        <v>-0.10334110334110336</v>
      </c>
      <c r="I51">
        <v>-6.3272844066163403E-2</v>
      </c>
    </row>
    <row r="52" spans="2:28" ht="15" hidden="1" customHeight="1" x14ac:dyDescent="0.25">
      <c r="D52">
        <v>4.0026463777704357E-2</v>
      </c>
      <c r="E52">
        <v>0.17895030709101056</v>
      </c>
      <c r="F52">
        <v>-0.19245908431738146</v>
      </c>
      <c r="G52">
        <v>0.12970615243342509</v>
      </c>
      <c r="H52">
        <v>-0.12165705296276874</v>
      </c>
      <c r="I52">
        <v>-6.8804159445407187E-2</v>
      </c>
    </row>
    <row r="53" spans="2:28" ht="15" hidden="1" customHeight="1" x14ac:dyDescent="0.25">
      <c r="D53">
        <v>0.18555133079847907</v>
      </c>
      <c r="E53">
        <v>0.30597964376590348</v>
      </c>
      <c r="F53">
        <v>-0.13094956192280383</v>
      </c>
      <c r="G53">
        <v>0.16418676244227814</v>
      </c>
      <c r="H53">
        <v>-3.5561877667140807E-2</v>
      </c>
      <c r="I53" s="299">
        <v>-1.273631840796019E-2</v>
      </c>
    </row>
    <row r="54" spans="2:28" ht="15.75" x14ac:dyDescent="0.3">
      <c r="G54" s="572" t="s">
        <v>493</v>
      </c>
      <c r="H54" s="572"/>
      <c r="I54" s="321" t="s">
        <v>494</v>
      </c>
      <c r="J54" s="321" t="s">
        <v>496</v>
      </c>
      <c r="K54" s="321"/>
      <c r="L54" s="321"/>
      <c r="M54" s="321"/>
      <c r="N54" s="321"/>
      <c r="O54" s="321"/>
      <c r="P54" s="321"/>
      <c r="Q54" s="321"/>
      <c r="R54" s="321"/>
      <c r="S54" s="321"/>
      <c r="T54" s="321"/>
      <c r="U54" s="321"/>
      <c r="V54" s="321"/>
      <c r="W54" s="321"/>
      <c r="X54" s="321"/>
      <c r="Y54" s="321"/>
      <c r="Z54" s="321"/>
      <c r="AA54" s="321"/>
      <c r="AB54" s="321" t="s">
        <v>497</v>
      </c>
    </row>
    <row r="55" spans="2:28" ht="15.75" x14ac:dyDescent="0.3">
      <c r="G55" s="322"/>
      <c r="H55" s="317" t="s">
        <v>488</v>
      </c>
      <c r="I55" s="323">
        <v>0.6</v>
      </c>
      <c r="J55" s="348">
        <f>ROUND(I55*J7,0)</f>
        <v>16243</v>
      </c>
      <c r="AB55" s="399">
        <v>5000</v>
      </c>
    </row>
    <row r="56" spans="2:28" x14ac:dyDescent="0.25">
      <c r="I56" s="332"/>
      <c r="J56" s="333"/>
    </row>
    <row r="57" spans="2:28" ht="15.75" x14ac:dyDescent="0.3">
      <c r="G57" s="572" t="s">
        <v>481</v>
      </c>
      <c r="H57" s="572"/>
      <c r="I57" s="321" t="s">
        <v>492</v>
      </c>
      <c r="J57" s="321" t="s">
        <v>488</v>
      </c>
    </row>
    <row r="58" spans="2:28" ht="25.5" x14ac:dyDescent="0.3">
      <c r="H58" s="317" t="s">
        <v>482</v>
      </c>
      <c r="I58" s="399">
        <v>5098.833333333333</v>
      </c>
      <c r="J58" s="348">
        <f>J62+J66</f>
        <v>5158</v>
      </c>
    </row>
    <row r="59" spans="2:28" ht="25.5" x14ac:dyDescent="0.3">
      <c r="B59" s="299"/>
      <c r="H59" s="317" t="s">
        <v>483</v>
      </c>
      <c r="I59" s="399">
        <v>594.16666666666663</v>
      </c>
      <c r="J59" s="348">
        <f t="shared" ref="J59:J60" si="70">J63+J67</f>
        <v>596</v>
      </c>
    </row>
    <row r="60" spans="2:28" ht="25.5" x14ac:dyDescent="0.3">
      <c r="B60" s="299"/>
      <c r="H60" s="317" t="s">
        <v>484</v>
      </c>
      <c r="I60" s="399">
        <v>232.16666666666666</v>
      </c>
      <c r="J60" s="348">
        <f t="shared" si="70"/>
        <v>233</v>
      </c>
    </row>
    <row r="61" spans="2:28" ht="15.75" x14ac:dyDescent="0.3">
      <c r="B61" s="320"/>
      <c r="H61" s="317"/>
      <c r="I61" s="334">
        <v>0.15</v>
      </c>
      <c r="J61" s="334">
        <f>SUM(J58:J60)/J5</f>
        <v>0.1540018091632834</v>
      </c>
    </row>
    <row r="62" spans="2:28" ht="15.75" x14ac:dyDescent="0.3">
      <c r="B62" s="299"/>
      <c r="H62" s="317" t="s">
        <v>485</v>
      </c>
      <c r="I62" s="399">
        <v>1864.1666666666667</v>
      </c>
      <c r="J62" s="348">
        <f>ROUND(I62/I$26*J$26,0)</f>
        <v>1913</v>
      </c>
    </row>
    <row r="63" spans="2:28" ht="15.75" x14ac:dyDescent="0.3">
      <c r="B63" s="299"/>
      <c r="H63" s="317" t="s">
        <v>486</v>
      </c>
      <c r="I63" s="399">
        <v>102</v>
      </c>
      <c r="J63" s="348">
        <f>ROUND(I63/I$7*J$7,0)</f>
        <v>102</v>
      </c>
    </row>
    <row r="64" spans="2:28" ht="15.75" x14ac:dyDescent="0.3">
      <c r="H64" s="317" t="s">
        <v>487</v>
      </c>
      <c r="I64" s="399">
        <v>10</v>
      </c>
      <c r="J64" s="348">
        <f>ROUND(I64/I$7*J$7,0)</f>
        <v>10</v>
      </c>
    </row>
    <row r="65" spans="7:10" ht="15.75" x14ac:dyDescent="0.3">
      <c r="H65" s="317"/>
      <c r="I65" s="334">
        <f>SUM(I62:I64)/I26</f>
        <v>0.1718156788871178</v>
      </c>
      <c r="J65" s="334">
        <f>SUM(J62:J64)/J26</f>
        <v>0.17154474988351898</v>
      </c>
    </row>
    <row r="66" spans="7:10" ht="15.75" x14ac:dyDescent="0.3">
      <c r="H66" s="317" t="s">
        <v>489</v>
      </c>
      <c r="I66" s="348">
        <f>I58-I62</f>
        <v>3234.6666666666661</v>
      </c>
      <c r="J66" s="348">
        <f>ROUND(I66/I$7*J$7,0)</f>
        <v>3245</v>
      </c>
    </row>
    <row r="67" spans="7:10" ht="15.75" x14ac:dyDescent="0.3">
      <c r="H67" s="317" t="s">
        <v>490</v>
      </c>
      <c r="I67" s="348">
        <f t="shared" ref="I67:I68" si="71">I59-I63</f>
        <v>492.16666666666663</v>
      </c>
      <c r="J67" s="348">
        <f>ROUND(I67/I$7*J$7,0)</f>
        <v>494</v>
      </c>
    </row>
    <row r="68" spans="7:10" ht="15.75" x14ac:dyDescent="0.3">
      <c r="H68" s="317" t="s">
        <v>491</v>
      </c>
      <c r="I68" s="348">
        <f t="shared" si="71"/>
        <v>222.16666666666666</v>
      </c>
      <c r="J68" s="348">
        <f>ROUND(I68/I$7*J$7,0)</f>
        <v>223</v>
      </c>
    </row>
    <row r="69" spans="7:10" ht="15.75" x14ac:dyDescent="0.3">
      <c r="I69" s="334">
        <f>SUM(I66:I68)/I7</f>
        <v>0.14632158141430607</v>
      </c>
      <c r="J69" s="334">
        <f>SUM(J66:J68)/J7</f>
        <v>0.1463522748260789</v>
      </c>
    </row>
    <row r="70" spans="7:10" x14ac:dyDescent="0.25">
      <c r="I70" s="333"/>
      <c r="J70" s="333"/>
    </row>
    <row r="71" spans="7:10" ht="15.75" x14ac:dyDescent="0.3">
      <c r="G71" s="572" t="s">
        <v>89</v>
      </c>
      <c r="H71" s="572"/>
      <c r="I71" s="321" t="s">
        <v>501</v>
      </c>
      <c r="J71" s="321" t="s">
        <v>495</v>
      </c>
    </row>
    <row r="72" spans="7:10" ht="15.75" x14ac:dyDescent="0.3">
      <c r="G72" s="324" t="s">
        <v>488</v>
      </c>
      <c r="H72" s="317" t="s">
        <v>498</v>
      </c>
      <c r="I72" s="334">
        <f>J72/J5</f>
        <v>7.7168102136270289E-2</v>
      </c>
      <c r="J72" s="399">
        <v>3000</v>
      </c>
    </row>
    <row r="73" spans="7:10" ht="15.75" x14ac:dyDescent="0.3">
      <c r="G73" s="324" t="s">
        <v>488</v>
      </c>
      <c r="H73" s="317" t="s">
        <v>500</v>
      </c>
      <c r="I73" s="323">
        <v>9.5200000000000007E-2</v>
      </c>
      <c r="J73" s="348">
        <f>ROUND(I73*J7,0)</f>
        <v>2577</v>
      </c>
    </row>
    <row r="74" spans="7:10" ht="15.75" x14ac:dyDescent="0.3">
      <c r="G74" s="324" t="s">
        <v>488</v>
      </c>
      <c r="H74" s="317" t="s">
        <v>499</v>
      </c>
      <c r="I74" s="334">
        <f>J74/J26</f>
        <v>3.5833792197890631E-2</v>
      </c>
      <c r="J74" s="348">
        <f>J72-J73</f>
        <v>423</v>
      </c>
    </row>
  </sheetData>
  <mergeCells count="11">
    <mergeCell ref="G57:H57"/>
    <mergeCell ref="G54:H54"/>
    <mergeCell ref="G71:H71"/>
    <mergeCell ref="H22:I22"/>
    <mergeCell ref="AL2:AT2"/>
    <mergeCell ref="AV2:BD2"/>
    <mergeCell ref="BF2:BN2"/>
    <mergeCell ref="BP2:BX2"/>
    <mergeCell ref="D2:I2"/>
    <mergeCell ref="K2:L2"/>
    <mergeCell ref="AB2:AJ2"/>
  </mergeCells>
  <dataValidations count="3">
    <dataValidation type="list" allowBlank="1" showInputMessage="1" showErrorMessage="1" sqref="D24:D25">
      <formula1>C28:C40</formula1>
    </dataValidation>
    <dataValidation type="list" allowBlank="1" showInputMessage="1" showErrorMessage="1" sqref="D22">
      <formula1>"B&amp;M, Cyber"</formula1>
    </dataValidation>
    <dataValidation type="list" allowBlank="1" showInputMessage="1" showErrorMessage="1" sqref="J1">
      <formula1>"Six-Year Trend, Constant"</formula1>
    </dataValidation>
  </dataValidations>
  <pageMargins left="0.7" right="0.7" top="0.75" bottom="0.75" header="0.3" footer="0.3"/>
  <pageSetup orientation="portrait"/>
  <extLst>
    <ext xmlns:x14="http://schemas.microsoft.com/office/spreadsheetml/2009/9/main" uri="{05C60535-1F16-4fd2-B633-F4F36F0B64E0}">
      <x14:sparklineGroups xmlns:xm="http://schemas.microsoft.com/office/excel/2006/main">
        <x14:sparklineGroup displayEmptyCellsAs="gap">
          <x14:colorSeries rgb="FF5F5F5F"/>
          <x14:colorNegative rgb="FFFFB620"/>
          <x14:colorAxis rgb="FF000000"/>
          <x14:colorMarkers rgb="FFD70077"/>
          <x14:colorFirst rgb="FF5687C2"/>
          <x14:colorLast rgb="FF359CEB"/>
          <x14:colorHigh rgb="FF56BE79"/>
          <x14:colorLow rgb="FFFF5055"/>
          <x14:sparklines>
            <x14:sparkline>
              <xm:f>'Projection Setting'!N15:T15</xm:f>
              <xm:sqref>U15</xm:sqref>
            </x14:sparkline>
            <x14:sparkline>
              <xm:f>'Projection Setting'!N16:T16</xm:f>
              <xm:sqref>U16</xm:sqref>
            </x14:sparkline>
            <x14:sparkline>
              <xm:f>'Projection Setting'!N17:T17</xm:f>
              <xm:sqref>U17</xm:sqref>
            </x14:sparkline>
            <x14:sparkline>
              <xm:f>'Projection Setting'!N18:T18</xm:f>
              <xm:sqref>U18</xm:sqref>
            </x14:sparkline>
            <x14:sparkline>
              <xm:f>'Projection Setting'!N19:T19</xm:f>
              <xm:sqref>U19</xm:sqref>
            </x14:sparkline>
            <x14:sparkline>
              <xm:f>'Projection Setting'!N20:T20</xm:f>
              <xm:sqref>U20</xm:sqref>
            </x14:sparkline>
            <x14:sparkline>
              <xm:f>'Projection Setting'!N21:T21</xm:f>
              <xm:sqref>U21</xm:sqref>
            </x14:sparkline>
          </x14:sparklines>
        </x14:sparklineGroup>
        <x14:sparklineGroup displayEmptyCellsAs="gap">
          <x14:colorSeries rgb="FF5F5F5F"/>
          <x14:colorNegative rgb="FFFFB620"/>
          <x14:colorAxis rgb="FF000000"/>
          <x14:colorMarkers rgb="FFD70077"/>
          <x14:colorFirst rgb="FF5687C2"/>
          <x14:colorLast rgb="FF359CEB"/>
          <x14:colorHigh rgb="FF56BE79"/>
          <x14:colorLow rgb="FFFF5055"/>
          <x14:sparklines>
            <x14:sparkline>
              <xm:f>'Projection Setting'!N34:T34</xm:f>
              <xm:sqref>U34</xm:sqref>
            </x14:sparkline>
            <x14:sparkline>
              <xm:f>'Projection Setting'!N35:T35</xm:f>
              <xm:sqref>U35</xm:sqref>
            </x14:sparkline>
            <x14:sparkline>
              <xm:f>'Projection Setting'!N36:T36</xm:f>
              <xm:sqref>U36</xm:sqref>
            </x14:sparkline>
            <x14:sparkline>
              <xm:f>'Projection Setting'!N37:T37</xm:f>
              <xm:sqref>U37</xm:sqref>
            </x14:sparkline>
            <x14:sparkline>
              <xm:f>'Projection Setting'!N38:T38</xm:f>
              <xm:sqref>U38</xm:sqref>
            </x14:sparkline>
            <x14:sparkline>
              <xm:f>'Projection Setting'!N39:T39</xm:f>
              <xm:sqref>U39</xm:sqref>
            </x14:sparkline>
            <x14:sparkline>
              <xm:f>'Projection Setting'!N40:T40</xm:f>
              <xm:sqref>U40</xm:sqref>
            </x14:sparkline>
          </x14:sparklines>
        </x14:sparklineGroup>
      </x14:sparklineGroup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15D29"/>
  </sheetPr>
  <dimension ref="A1:AJ94"/>
  <sheetViews>
    <sheetView zoomScale="90" zoomScaleNormal="90" zoomScalePageLayoutView="125" workbookViewId="0">
      <pane xSplit="11" ySplit="4" topLeftCell="AC57" activePane="bottomRight" state="frozen"/>
      <selection pane="topRight" activeCell="L1" sqref="L1"/>
      <selection pane="bottomLeft" activeCell="A5" sqref="A5"/>
      <selection pane="bottomRight" activeCell="AD72" sqref="AD72:AH72"/>
    </sheetView>
  </sheetViews>
  <sheetFormatPr defaultColWidth="8.7109375" defaultRowHeight="15.75" outlineLevelRow="1" x14ac:dyDescent="0.3"/>
  <cols>
    <col min="1" max="1" width="11.42578125" style="68" customWidth="1"/>
    <col min="2" max="2" width="45.42578125" style="58" customWidth="1"/>
    <col min="3" max="3" width="5.28515625" style="58" hidden="1" customWidth="1"/>
    <col min="4" max="4" width="14.28515625" style="75" customWidth="1"/>
    <col min="5" max="5" width="10.42578125" style="103" bestFit="1" customWidth="1"/>
    <col min="6" max="6" width="12" style="103" hidden="1" customWidth="1"/>
    <col min="7" max="7" width="10.42578125" style="103" hidden="1" customWidth="1"/>
    <col min="8" max="8" width="12" style="103" hidden="1" customWidth="1"/>
    <col min="9" max="9" width="10.42578125" style="103" hidden="1" customWidth="1"/>
    <col min="10" max="10" width="12" style="103" hidden="1" customWidth="1"/>
    <col min="11" max="11" width="10.42578125" style="103" hidden="1" customWidth="1"/>
    <col min="12" max="12" width="15.7109375" style="437" bestFit="1" customWidth="1"/>
    <col min="13" max="13" width="13.7109375" style="102" bestFit="1" customWidth="1"/>
    <col min="14" max="14" width="13.7109375" style="102" hidden="1" customWidth="1"/>
    <col min="15" max="15" width="9.42578125" style="102" hidden="1" customWidth="1"/>
    <col min="16" max="16" width="15.7109375" style="439" bestFit="1" customWidth="1"/>
    <col min="17" max="17" width="13.7109375" style="102" bestFit="1" customWidth="1"/>
    <col min="18" max="18" width="12.28515625" style="437" bestFit="1" customWidth="1"/>
    <col min="19" max="19" width="13.7109375" style="102" bestFit="1" customWidth="1"/>
    <col min="20" max="20" width="14" style="102" hidden="1" customWidth="1"/>
    <col min="21" max="21" width="8.28515625" style="102" hidden="1" customWidth="1"/>
    <col min="22" max="22" width="12.28515625" style="439" bestFit="1" customWidth="1"/>
    <col min="23" max="23" width="13.7109375" style="102" bestFit="1" customWidth="1"/>
    <col min="24" max="24" width="12.28515625" style="437" bestFit="1" customWidth="1"/>
    <col min="25" max="25" width="13.7109375" style="102" bestFit="1" customWidth="1"/>
    <col min="26" max="26" width="12" style="102" hidden="1" customWidth="1"/>
    <col min="27" max="27" width="8.28515625" style="102" hidden="1" customWidth="1"/>
    <col min="28" max="28" width="12.28515625" style="439" bestFit="1" customWidth="1"/>
    <col min="29" max="29" width="13.7109375" style="102" bestFit="1" customWidth="1"/>
    <col min="30" max="30" width="12.28515625" style="437" bestFit="1" customWidth="1"/>
    <col min="31" max="31" width="13.7109375" style="102" bestFit="1" customWidth="1"/>
    <col min="32" max="32" width="12" style="102" hidden="1" customWidth="1"/>
    <col min="33" max="33" width="8" style="102" hidden="1" customWidth="1"/>
    <col min="34" max="34" width="12.28515625" style="439" bestFit="1" customWidth="1"/>
    <col min="35" max="35" width="11.28515625" style="102" bestFit="1" customWidth="1"/>
    <col min="36" max="36" width="17.28515625" style="58" customWidth="1"/>
    <col min="37" max="16384" width="8.7109375" style="58"/>
  </cols>
  <sheetData>
    <row r="1" spans="1:36" x14ac:dyDescent="0.3">
      <c r="B1" s="101" t="s">
        <v>82</v>
      </c>
      <c r="C1" s="101"/>
      <c r="D1" s="166" t="str">
        <f>Instructions!$E$3</f>
        <v>Average of 6 Districts</v>
      </c>
      <c r="E1" s="166"/>
      <c r="F1" s="166"/>
      <c r="G1" s="166"/>
      <c r="H1" s="166"/>
      <c r="I1" s="166"/>
      <c r="J1" s="166"/>
      <c r="K1" s="166"/>
      <c r="L1" s="416"/>
      <c r="M1" s="166"/>
      <c r="N1" s="166"/>
      <c r="O1" s="166"/>
      <c r="P1" s="422"/>
      <c r="Q1" s="159"/>
    </row>
    <row r="2" spans="1:36" ht="16.5" thickBot="1" x14ac:dyDescent="0.35">
      <c r="L2" s="417"/>
      <c r="M2" s="160"/>
      <c r="N2" s="160"/>
      <c r="O2" s="160"/>
      <c r="P2" s="438"/>
      <c r="Q2" s="160"/>
      <c r="R2" s="417"/>
      <c r="S2" s="160"/>
      <c r="T2" s="160"/>
      <c r="U2" s="160"/>
      <c r="V2" s="438"/>
      <c r="W2" s="160"/>
      <c r="X2" s="417"/>
      <c r="Y2" s="160"/>
      <c r="Z2" s="160"/>
      <c r="AA2" s="160"/>
      <c r="AB2" s="438"/>
      <c r="AC2" s="160"/>
      <c r="AD2" s="417"/>
      <c r="AE2" s="160"/>
      <c r="AF2" s="160"/>
      <c r="AG2" s="160"/>
      <c r="AH2" s="438"/>
      <c r="AI2" s="160"/>
    </row>
    <row r="3" spans="1:36" x14ac:dyDescent="0.3">
      <c r="B3" s="104"/>
      <c r="C3" s="291"/>
      <c r="D3" s="575" t="s">
        <v>85</v>
      </c>
      <c r="E3" s="575"/>
      <c r="F3" s="579" t="s">
        <v>547</v>
      </c>
      <c r="G3" s="579"/>
      <c r="H3" s="579"/>
      <c r="I3" s="579"/>
      <c r="J3" s="579"/>
      <c r="K3" s="579"/>
      <c r="L3" s="579" t="s">
        <v>86</v>
      </c>
      <c r="M3" s="579"/>
      <c r="N3" s="579"/>
      <c r="O3" s="579"/>
      <c r="P3" s="579"/>
      <c r="Q3" s="579"/>
      <c r="R3" s="579" t="s">
        <v>87</v>
      </c>
      <c r="S3" s="579"/>
      <c r="T3" s="579"/>
      <c r="U3" s="579"/>
      <c r="V3" s="579"/>
      <c r="W3" s="579"/>
      <c r="X3" s="579" t="s">
        <v>88</v>
      </c>
      <c r="Y3" s="579"/>
      <c r="Z3" s="579"/>
      <c r="AA3" s="579"/>
      <c r="AB3" s="579"/>
      <c r="AC3" s="579"/>
      <c r="AD3" s="579" t="s">
        <v>178</v>
      </c>
      <c r="AE3" s="579"/>
      <c r="AF3" s="579"/>
      <c r="AG3" s="579"/>
      <c r="AH3" s="579"/>
      <c r="AI3" s="580"/>
    </row>
    <row r="4" spans="1:36" ht="16.5" thickBot="1" x14ac:dyDescent="0.35">
      <c r="B4" s="161"/>
      <c r="C4" s="292"/>
      <c r="D4" s="577" t="s">
        <v>409</v>
      </c>
      <c r="E4" s="578"/>
      <c r="F4" s="576" t="s">
        <v>396</v>
      </c>
      <c r="G4" s="576"/>
      <c r="H4" s="508" t="s">
        <v>466</v>
      </c>
      <c r="I4" s="508"/>
      <c r="J4" s="576" t="s">
        <v>397</v>
      </c>
      <c r="K4" s="576"/>
      <c r="L4" s="576" t="s">
        <v>396</v>
      </c>
      <c r="M4" s="576"/>
      <c r="N4" s="508" t="s">
        <v>466</v>
      </c>
      <c r="O4" s="508"/>
      <c r="P4" s="576" t="s">
        <v>397</v>
      </c>
      <c r="Q4" s="576"/>
      <c r="R4" s="576" t="s">
        <v>396</v>
      </c>
      <c r="S4" s="576"/>
      <c r="T4" s="508"/>
      <c r="U4" s="508"/>
      <c r="V4" s="576" t="s">
        <v>397</v>
      </c>
      <c r="W4" s="576"/>
      <c r="X4" s="576" t="s">
        <v>396</v>
      </c>
      <c r="Y4" s="576"/>
      <c r="Z4" s="508"/>
      <c r="AA4" s="508"/>
      <c r="AB4" s="576" t="s">
        <v>397</v>
      </c>
      <c r="AC4" s="576"/>
      <c r="AD4" s="576" t="s">
        <v>396</v>
      </c>
      <c r="AE4" s="576"/>
      <c r="AF4" s="508"/>
      <c r="AG4" s="508"/>
      <c r="AH4" s="576" t="s">
        <v>397</v>
      </c>
      <c r="AI4" s="581"/>
    </row>
    <row r="5" spans="1:36" hidden="1" x14ac:dyDescent="0.3">
      <c r="B5" s="513">
        <v>1</v>
      </c>
      <c r="C5" s="514">
        <v>2</v>
      </c>
      <c r="D5" s="513">
        <v>3</v>
      </c>
      <c r="E5" s="514">
        <v>4</v>
      </c>
      <c r="F5" s="513">
        <v>5</v>
      </c>
      <c r="G5" s="514">
        <v>6</v>
      </c>
      <c r="H5" s="513">
        <v>7</v>
      </c>
      <c r="I5" s="514">
        <v>8</v>
      </c>
      <c r="J5" s="513">
        <v>9</v>
      </c>
      <c r="K5" s="514">
        <v>10</v>
      </c>
      <c r="L5" s="513">
        <v>11</v>
      </c>
      <c r="M5" s="514">
        <v>12</v>
      </c>
      <c r="N5" s="513">
        <v>13</v>
      </c>
      <c r="O5" s="514">
        <v>14</v>
      </c>
      <c r="P5" s="513">
        <v>15</v>
      </c>
      <c r="Q5" s="514">
        <v>16</v>
      </c>
      <c r="R5" s="513">
        <v>17</v>
      </c>
      <c r="S5" s="514">
        <v>18</v>
      </c>
      <c r="T5" s="513">
        <v>19</v>
      </c>
      <c r="U5" s="514">
        <v>20</v>
      </c>
      <c r="V5" s="513">
        <v>21</v>
      </c>
      <c r="W5" s="514">
        <v>22</v>
      </c>
      <c r="X5" s="513">
        <v>23</v>
      </c>
      <c r="Y5" s="514">
        <v>24</v>
      </c>
      <c r="Z5" s="513">
        <v>25</v>
      </c>
      <c r="AA5" s="514">
        <v>26</v>
      </c>
      <c r="AB5" s="513">
        <v>27</v>
      </c>
      <c r="AC5" s="514">
        <v>28</v>
      </c>
      <c r="AD5" s="513">
        <v>29</v>
      </c>
      <c r="AE5" s="514">
        <v>30</v>
      </c>
      <c r="AF5" s="513">
        <v>31</v>
      </c>
      <c r="AG5" s="514">
        <v>32</v>
      </c>
      <c r="AH5" s="513">
        <v>33</v>
      </c>
      <c r="AI5" s="514">
        <v>34</v>
      </c>
    </row>
    <row r="6" spans="1:36" x14ac:dyDescent="0.3">
      <c r="B6" s="278" t="s">
        <v>468</v>
      </c>
      <c r="C6" s="293"/>
      <c r="D6" s="169"/>
      <c r="E6" s="170"/>
      <c r="F6" s="447">
        <v>0</v>
      </c>
      <c r="G6" s="448" t="s">
        <v>428</v>
      </c>
      <c r="H6" s="463"/>
      <c r="I6" s="463"/>
      <c r="J6" s="447">
        <v>0</v>
      </c>
      <c r="K6" s="448" t="s">
        <v>428</v>
      </c>
      <c r="L6" s="447">
        <v>5.0000000000000001E-3</v>
      </c>
      <c r="M6" s="448" t="s">
        <v>428</v>
      </c>
      <c r="N6" s="463"/>
      <c r="O6" s="463"/>
      <c r="P6" s="447">
        <f>L6*5</f>
        <v>2.5000000000000001E-2</v>
      </c>
      <c r="Q6" s="448" t="s">
        <v>428</v>
      </c>
      <c r="R6" s="449">
        <v>0.01</v>
      </c>
      <c r="S6" s="450" t="s">
        <v>428</v>
      </c>
      <c r="T6" s="473"/>
      <c r="U6" s="473"/>
      <c r="V6" s="449">
        <f>R6*5</f>
        <v>0.05</v>
      </c>
      <c r="W6" s="450" t="s">
        <v>428</v>
      </c>
      <c r="X6" s="447">
        <v>0.02</v>
      </c>
      <c r="Y6" s="448" t="s">
        <v>428</v>
      </c>
      <c r="Z6" s="463"/>
      <c r="AA6" s="463"/>
      <c r="AB6" s="447">
        <f>X6*5</f>
        <v>0.1</v>
      </c>
      <c r="AC6" s="448" t="s">
        <v>428</v>
      </c>
      <c r="AD6" s="449">
        <v>0.04</v>
      </c>
      <c r="AE6" s="450" t="s">
        <v>428</v>
      </c>
      <c r="AF6" s="473"/>
      <c r="AG6" s="473"/>
      <c r="AH6" s="449">
        <f>AD6*5</f>
        <v>0.2</v>
      </c>
      <c r="AI6" s="171" t="s">
        <v>428</v>
      </c>
    </row>
    <row r="7" spans="1:36" ht="16.5" x14ac:dyDescent="0.3">
      <c r="B7" s="152" t="s">
        <v>83</v>
      </c>
      <c r="C7" s="290"/>
      <c r="D7" s="151"/>
      <c r="E7" s="151"/>
      <c r="F7" s="574" t="s">
        <v>83</v>
      </c>
      <c r="G7" s="574"/>
      <c r="H7" s="574"/>
      <c r="I7" s="574"/>
      <c r="J7" s="574"/>
      <c r="K7" s="574"/>
      <c r="L7" s="574" t="s">
        <v>83</v>
      </c>
      <c r="M7" s="574"/>
      <c r="N7" s="574"/>
      <c r="O7" s="574"/>
      <c r="P7" s="574"/>
      <c r="Q7" s="574"/>
      <c r="R7" s="574" t="s">
        <v>83</v>
      </c>
      <c r="S7" s="574"/>
      <c r="T7" s="574"/>
      <c r="U7" s="574"/>
      <c r="V7" s="574"/>
      <c r="W7" s="574"/>
      <c r="X7" s="574" t="s">
        <v>83</v>
      </c>
      <c r="Y7" s="574"/>
      <c r="Z7" s="574"/>
      <c r="AA7" s="574"/>
      <c r="AB7" s="574"/>
      <c r="AC7" s="574"/>
      <c r="AD7" s="574" t="s">
        <v>83</v>
      </c>
      <c r="AE7" s="574"/>
      <c r="AF7" s="574"/>
      <c r="AG7" s="574"/>
      <c r="AH7" s="574"/>
      <c r="AI7" s="574"/>
    </row>
    <row r="8" spans="1:36" x14ac:dyDescent="0.3">
      <c r="A8" s="137" t="s">
        <v>283</v>
      </c>
      <c r="B8" s="59" t="s">
        <v>222</v>
      </c>
      <c r="C8" s="61"/>
      <c r="D8" s="400">
        <f>SUM(D10,D33)</f>
        <v>38876.166666666672</v>
      </c>
      <c r="E8" s="60"/>
      <c r="F8" s="418">
        <f>SUM(F10,F33)</f>
        <v>38876</v>
      </c>
      <c r="G8" s="62"/>
      <c r="H8" s="418">
        <f>SUM(H10,H33)</f>
        <v>38876</v>
      </c>
      <c r="I8" s="62"/>
      <c r="J8" s="418">
        <f>SUM(J10,J33)</f>
        <v>38876</v>
      </c>
      <c r="K8" s="62"/>
      <c r="L8" s="418">
        <f>SUM(L10,L33)</f>
        <v>38876</v>
      </c>
      <c r="M8" s="62"/>
      <c r="N8" s="418">
        <f>SUM(N10,N33)</f>
        <v>38876</v>
      </c>
      <c r="O8" s="62"/>
      <c r="P8" s="418">
        <f>SUM(P10,P33)</f>
        <v>38876</v>
      </c>
      <c r="Q8" s="62"/>
      <c r="R8" s="400">
        <f>SUM(R10,R33)</f>
        <v>38876</v>
      </c>
      <c r="S8" s="60"/>
      <c r="T8" s="400">
        <f>SUM(T10,T33)</f>
        <v>38876</v>
      </c>
      <c r="U8" s="474"/>
      <c r="V8" s="400">
        <f>SUM(V10,V33)</f>
        <v>38876</v>
      </c>
      <c r="W8" s="60"/>
      <c r="X8" s="418">
        <f>SUM(X10,X33)</f>
        <v>38876</v>
      </c>
      <c r="Y8" s="62"/>
      <c r="Z8" s="418">
        <f>SUM(Z10,Z33)</f>
        <v>38876</v>
      </c>
      <c r="AA8" s="62"/>
      <c r="AB8" s="418">
        <f>SUM(AB10,AB33)</f>
        <v>38876</v>
      </c>
      <c r="AC8" s="62"/>
      <c r="AD8" s="400">
        <f>SUM(AD10,AD33)</f>
        <v>38876</v>
      </c>
      <c r="AE8" s="60"/>
      <c r="AF8" s="400">
        <f>SUM(AF10,AF33)</f>
        <v>38876</v>
      </c>
      <c r="AG8" s="474"/>
      <c r="AH8" s="400">
        <f>SUM(AH10,AH33)</f>
        <v>38876</v>
      </c>
      <c r="AI8" s="330"/>
      <c r="AJ8" s="75"/>
    </row>
    <row r="9" spans="1:36" x14ac:dyDescent="0.3">
      <c r="B9" s="64"/>
      <c r="C9" s="66"/>
      <c r="D9" s="401" t="s">
        <v>283</v>
      </c>
      <c r="E9" s="65" t="s">
        <v>223</v>
      </c>
      <c r="F9" s="419"/>
      <c r="G9" s="67" t="s">
        <v>223</v>
      </c>
      <c r="H9" s="419"/>
      <c r="I9" s="67" t="s">
        <v>223</v>
      </c>
      <c r="J9" s="419"/>
      <c r="K9" s="67" t="s">
        <v>223</v>
      </c>
      <c r="L9" s="419"/>
      <c r="M9" s="67" t="s">
        <v>223</v>
      </c>
      <c r="N9" s="419"/>
      <c r="O9" s="67" t="s">
        <v>223</v>
      </c>
      <c r="P9" s="419"/>
      <c r="Q9" s="67" t="s">
        <v>223</v>
      </c>
      <c r="R9" s="440"/>
      <c r="S9" s="65" t="s">
        <v>223</v>
      </c>
      <c r="T9" s="440"/>
      <c r="U9" s="63" t="s">
        <v>223</v>
      </c>
      <c r="V9" s="440"/>
      <c r="W9" s="65" t="s">
        <v>223</v>
      </c>
      <c r="X9" s="419"/>
      <c r="Y9" s="67" t="s">
        <v>223</v>
      </c>
      <c r="Z9" s="419"/>
      <c r="AA9" s="67" t="s">
        <v>223</v>
      </c>
      <c r="AB9" s="419"/>
      <c r="AC9" s="67" t="s">
        <v>223</v>
      </c>
      <c r="AD9" s="440"/>
      <c r="AE9" s="65" t="s">
        <v>223</v>
      </c>
      <c r="AF9" s="440"/>
      <c r="AG9" s="63" t="s">
        <v>223</v>
      </c>
      <c r="AH9" s="440"/>
      <c r="AI9" s="63" t="s">
        <v>223</v>
      </c>
    </row>
    <row r="10" spans="1:36" s="72" customFormat="1" x14ac:dyDescent="0.3">
      <c r="A10" s="137" t="s">
        <v>283</v>
      </c>
      <c r="B10" s="69" t="s">
        <v>288</v>
      </c>
      <c r="C10" s="70"/>
      <c r="D10" s="402">
        <f>SUM(D12:D24)</f>
        <v>27071.666666666672</v>
      </c>
      <c r="E10" s="314">
        <f>D10/D8</f>
        <v>0.69635637944413242</v>
      </c>
      <c r="F10" s="335">
        <f>SUM(F12:F24)</f>
        <v>27072</v>
      </c>
      <c r="G10" s="315">
        <f>F10/F8</f>
        <v>0.69636793908838357</v>
      </c>
      <c r="H10" s="335">
        <f>SUM(H12:H24)</f>
        <v>27072</v>
      </c>
      <c r="I10" s="315">
        <f>H10/H8</f>
        <v>0.69636793908838357</v>
      </c>
      <c r="J10" s="335">
        <f>SUM(J12:J24)</f>
        <v>27072</v>
      </c>
      <c r="K10" s="315">
        <f>J10/J8</f>
        <v>0.69636793908838357</v>
      </c>
      <c r="L10" s="335">
        <f>SUM(L12:L24)</f>
        <v>26877</v>
      </c>
      <c r="M10" s="315">
        <f>L10/L8</f>
        <v>0.69135199094557054</v>
      </c>
      <c r="N10" s="335">
        <f>SUM(N12:N24)</f>
        <v>26488</v>
      </c>
      <c r="O10" s="315">
        <f>N10/N8</f>
        <v>0.68134581747093326</v>
      </c>
      <c r="P10" s="335">
        <f>SUM(P12:P24)</f>
        <v>26100</v>
      </c>
      <c r="Q10" s="315">
        <f>P10/P8</f>
        <v>0.67136536680728465</v>
      </c>
      <c r="R10" s="406">
        <f>SUM(R12:R24)</f>
        <v>26683</v>
      </c>
      <c r="S10" s="314">
        <f>R10/R8</f>
        <v>0.68636176561374629</v>
      </c>
      <c r="T10" s="406">
        <f>SUM(T12:T24)</f>
        <v>25905</v>
      </c>
      <c r="U10" s="316">
        <f>T10/T8</f>
        <v>0.66634941866447162</v>
      </c>
      <c r="V10" s="406">
        <f>SUM(V12:V24)</f>
        <v>25128</v>
      </c>
      <c r="W10" s="314">
        <f>V10/V8</f>
        <v>0.64636279452618584</v>
      </c>
      <c r="X10" s="335">
        <f>SUM(X12:X24)</f>
        <v>26294</v>
      </c>
      <c r="Y10" s="315">
        <f>X10/X8</f>
        <v>0.67635559213910901</v>
      </c>
      <c r="Z10" s="335">
        <f>SUM(Z12:Z24)</f>
        <v>24739</v>
      </c>
      <c r="AA10" s="315">
        <f>Z10/Z8</f>
        <v>0.63635662105154855</v>
      </c>
      <c r="AB10" s="335">
        <f>SUM(AB12:AB24)</f>
        <v>23184</v>
      </c>
      <c r="AC10" s="315">
        <f>AB10/AB8</f>
        <v>0.5963576499639881</v>
      </c>
      <c r="AD10" s="406">
        <f>SUM(AD12:AD24)</f>
        <v>25517</v>
      </c>
      <c r="AE10" s="314">
        <f>AD10/AD8</f>
        <v>0.65636896800082312</v>
      </c>
      <c r="AF10" s="406">
        <f>SUM(AF12:AF24)</f>
        <v>22406</v>
      </c>
      <c r="AG10" s="316">
        <f>AF10/AF8</f>
        <v>0.57634530301471343</v>
      </c>
      <c r="AH10" s="406">
        <f>SUM(AH12:AH24)</f>
        <v>19296</v>
      </c>
      <c r="AI10" s="316">
        <f>AH10/AH8</f>
        <v>0.49634736083959258</v>
      </c>
    </row>
    <row r="11" spans="1:36" outlineLevel="1" x14ac:dyDescent="0.3">
      <c r="B11" s="69"/>
      <c r="C11" s="70"/>
      <c r="D11" s="402"/>
      <c r="E11" s="65" t="s">
        <v>287</v>
      </c>
      <c r="F11" s="335"/>
      <c r="G11" s="73" t="s">
        <v>287</v>
      </c>
      <c r="H11" s="297"/>
      <c r="I11" s="73" t="s">
        <v>287</v>
      </c>
      <c r="J11" s="335"/>
      <c r="K11" s="73" t="s">
        <v>287</v>
      </c>
      <c r="L11" s="335"/>
      <c r="M11" s="73" t="s">
        <v>287</v>
      </c>
      <c r="N11" s="297"/>
      <c r="O11" s="73" t="s">
        <v>287</v>
      </c>
      <c r="P11" s="335"/>
      <c r="Q11" s="73" t="s">
        <v>287</v>
      </c>
      <c r="R11" s="406"/>
      <c r="S11" s="65" t="s">
        <v>287</v>
      </c>
      <c r="T11" s="63"/>
      <c r="U11" s="63" t="s">
        <v>287</v>
      </c>
      <c r="V11" s="406"/>
      <c r="W11" s="65" t="s">
        <v>287</v>
      </c>
      <c r="X11" s="335"/>
      <c r="Y11" s="73" t="s">
        <v>224</v>
      </c>
      <c r="Z11" s="297"/>
      <c r="AA11" s="73" t="s">
        <v>287</v>
      </c>
      <c r="AB11" s="335"/>
      <c r="AC11" s="73" t="s">
        <v>224</v>
      </c>
      <c r="AD11" s="406"/>
      <c r="AE11" s="65" t="s">
        <v>287</v>
      </c>
      <c r="AF11" s="63"/>
      <c r="AG11" s="63" t="s">
        <v>287</v>
      </c>
      <c r="AH11" s="406"/>
      <c r="AI11" s="63" t="s">
        <v>287</v>
      </c>
    </row>
    <row r="12" spans="1:36" outlineLevel="1" x14ac:dyDescent="0.3">
      <c r="B12" s="105" t="s">
        <v>430</v>
      </c>
      <c r="C12" s="294">
        <v>0</v>
      </c>
      <c r="D12" s="403">
        <f t="array" ref="D12:D24">'Projection Setting'!J9:J21</f>
        <v>2149.5</v>
      </c>
      <c r="E12" s="74">
        <f t="array" ref="E12:E24">D12:D24/D$10</f>
        <v>7.9400357076894648E-2</v>
      </c>
      <c r="F12" s="420">
        <f t="array" ref="F12:F24">'Projection Setting'!AB9:AB21</f>
        <v>2165</v>
      </c>
      <c r="G12" s="310">
        <f t="array" ref="G12:G24">F12:F24/F$10</f>
        <v>7.9971926713947997E-2</v>
      </c>
      <c r="H12" s="420">
        <f t="array" ref="H12:H24">'Projection Setting'!AF9:AF21</f>
        <v>2098</v>
      </c>
      <c r="I12" s="310">
        <f t="array" ref="I12:I24">H12:H24/H$10</f>
        <v>7.7497044917257688E-2</v>
      </c>
      <c r="J12" s="420">
        <f t="array" ref="J12:J24">'Projection Setting'!AJ9:AJ21</f>
        <v>2020</v>
      </c>
      <c r="K12" s="310">
        <f t="array" ref="K12:K24">J12:J24/J$10</f>
        <v>7.4615839243498822E-2</v>
      </c>
      <c r="L12" s="420">
        <f t="array" ref="L12:L24">'Projection Setting'!AL9:AL21</f>
        <v>2150</v>
      </c>
      <c r="M12" s="310">
        <f t="array" ref="M12:M24">L12:L24/L$10</f>
        <v>7.9994046954645237E-2</v>
      </c>
      <c r="N12" s="420">
        <f t="array" ref="N12:N24">'Projection Setting'!AP9:AP21</f>
        <v>2085</v>
      </c>
      <c r="O12" s="310">
        <f t="array" ref="O12:O24">N12:N24/N$10</f>
        <v>7.8714889761401383E-2</v>
      </c>
      <c r="P12" s="420">
        <f t="array" ref="P12:P24">'Projection Setting'!AT9:AT21</f>
        <v>2008</v>
      </c>
      <c r="Q12" s="310">
        <f t="array" ref="Q12:Q24">P12:P24/P$10</f>
        <v>7.6934865900383148E-2</v>
      </c>
      <c r="R12" s="403">
        <f t="array" ref="R12:R24">'Projection Setting'!AV9:AV21</f>
        <v>2135</v>
      </c>
      <c r="S12" s="74">
        <f t="array" ref="S12:S24">R12:R24/R$10</f>
        <v>8.0013491736311504E-2</v>
      </c>
      <c r="T12" s="403">
        <f t="array" ref="T12:T24">'Projection Setting'!AZ9:AZ21</f>
        <v>2071</v>
      </c>
      <c r="U12" s="89">
        <f t="array" ref="U12:U24">T12:T24/T$10</f>
        <v>7.9945956379077393E-2</v>
      </c>
      <c r="V12" s="403">
        <f t="array" ref="V12:V24">'Projection Setting'!BD9:BD21</f>
        <v>1996</v>
      </c>
      <c r="W12" s="74">
        <f t="array" ref="W12:W24">V12:V24/V$10</f>
        <v>7.9433301496338746E-2</v>
      </c>
      <c r="X12" s="420">
        <f t="array" ref="X12:X24">'Projection Setting'!BF9:BF21</f>
        <v>2105</v>
      </c>
      <c r="Y12" s="310">
        <f t="array" ref="Y12:Y24">X12:X24/X$10</f>
        <v>8.0056286605309196E-2</v>
      </c>
      <c r="Z12" s="420">
        <f t="array" ref="Z12:Z24">'Projection Setting'!BJ9:BJ21</f>
        <v>2043</v>
      </c>
      <c r="AA12" s="310">
        <f t="array" ref="AA12:AA24">Z12:Z24/Z$10</f>
        <v>8.2582157726666397E-2</v>
      </c>
      <c r="AB12" s="420">
        <f t="array" ref="AB12:AB24">'Projection Setting'!BN9:BN21</f>
        <v>1971</v>
      </c>
      <c r="AC12" s="310">
        <f t="array" ref="AC12:AC24">AB12:AB24/AB$10</f>
        <v>8.501552795031056E-2</v>
      </c>
      <c r="AD12" s="403">
        <f t="array" ref="AD12:AD24">'Projection Setting'!BP9:BP21</f>
        <v>2044</v>
      </c>
      <c r="AE12" s="74">
        <f t="array" ref="AE12:AE24">AD12:AD24/AD$10</f>
        <v>8.0103460438139276E-2</v>
      </c>
      <c r="AF12" s="403">
        <f t="array" ref="AF12:AF24">'Projection Setting'!BT9:BT21</f>
        <v>1988</v>
      </c>
      <c r="AG12" s="89">
        <f t="array" ref="AG12:AG24">AF12:AF24/AF$10</f>
        <v>8.8726234044452373E-2</v>
      </c>
      <c r="AH12" s="403">
        <f t="array" ref="AH12:AH24">'Projection Setting'!BX9:BX21</f>
        <v>1923</v>
      </c>
      <c r="AI12" s="89">
        <f t="array" ref="AI12:AI24">AH12:AH24/AH$10</f>
        <v>9.9657960199004969E-2</v>
      </c>
    </row>
    <row r="13" spans="1:36" outlineLevel="1" x14ac:dyDescent="0.3">
      <c r="B13" s="105" t="s">
        <v>382</v>
      </c>
      <c r="C13" s="294">
        <v>1</v>
      </c>
      <c r="D13" s="403">
        <v>2361.5</v>
      </c>
      <c r="E13" s="74">
        <v>8.7231422766730266E-2</v>
      </c>
      <c r="F13" s="420">
        <v>2337</v>
      </c>
      <c r="G13" s="310">
        <v>8.6325354609929073E-2</v>
      </c>
      <c r="H13" s="420">
        <v>2331</v>
      </c>
      <c r="I13" s="310">
        <v>8.6103723404255317E-2</v>
      </c>
      <c r="J13" s="420">
        <v>2257</v>
      </c>
      <c r="K13" s="310">
        <v>8.3370271867612297E-2</v>
      </c>
      <c r="L13" s="420">
        <v>2322</v>
      </c>
      <c r="M13" s="310">
        <v>8.6393570711016859E-2</v>
      </c>
      <c r="N13" s="420">
        <v>2302</v>
      </c>
      <c r="O13" s="310">
        <v>8.6907278767743887E-2</v>
      </c>
      <c r="P13" s="420">
        <v>2231</v>
      </c>
      <c r="Q13" s="310">
        <v>8.547892720306513E-2</v>
      </c>
      <c r="R13" s="403">
        <v>2307</v>
      </c>
      <c r="S13" s="74">
        <v>8.6459543529588123E-2</v>
      </c>
      <c r="T13" s="403">
        <v>2272</v>
      </c>
      <c r="U13" s="89">
        <v>8.7705076240108093E-2</v>
      </c>
      <c r="V13" s="403">
        <v>2204</v>
      </c>
      <c r="W13" s="74">
        <v>8.7710920089143579E-2</v>
      </c>
      <c r="X13" s="420">
        <v>2277</v>
      </c>
      <c r="Y13" s="310">
        <v>8.6597702897999548E-2</v>
      </c>
      <c r="Z13" s="420">
        <v>2214</v>
      </c>
      <c r="AA13" s="310">
        <v>8.9494320708193534E-2</v>
      </c>
      <c r="AB13" s="420">
        <v>2151</v>
      </c>
      <c r="AC13" s="310">
        <v>9.2779503105590064E-2</v>
      </c>
      <c r="AD13" s="403">
        <v>2216</v>
      </c>
      <c r="AE13" s="74">
        <v>8.6844064741152957E-2</v>
      </c>
      <c r="AF13" s="403">
        <v>2094</v>
      </c>
      <c r="AG13" s="89">
        <v>9.3457109702758195E-2</v>
      </c>
      <c r="AH13" s="403">
        <v>2047</v>
      </c>
      <c r="AI13" s="89">
        <v>0.10608416252072969</v>
      </c>
    </row>
    <row r="14" spans="1:36" outlineLevel="1" x14ac:dyDescent="0.3">
      <c r="B14" s="105" t="s">
        <v>383</v>
      </c>
      <c r="C14" s="294">
        <v>2</v>
      </c>
      <c r="D14" s="403">
        <v>2398.5</v>
      </c>
      <c r="E14" s="74">
        <v>8.8598165363541204E-2</v>
      </c>
      <c r="F14" s="420">
        <v>2294</v>
      </c>
      <c r="G14" s="310">
        <v>8.47369976359338E-2</v>
      </c>
      <c r="H14" s="420">
        <v>2305</v>
      </c>
      <c r="I14" s="310">
        <v>8.5143321513002371E-2</v>
      </c>
      <c r="J14" s="420">
        <v>2245</v>
      </c>
      <c r="K14" s="310">
        <v>8.2927009456264772E-2</v>
      </c>
      <c r="L14" s="420">
        <v>2279</v>
      </c>
      <c r="M14" s="310">
        <v>8.4793689771923947E-2</v>
      </c>
      <c r="N14" s="420">
        <v>2258</v>
      </c>
      <c r="O14" s="310">
        <v>8.5246149199637578E-2</v>
      </c>
      <c r="P14" s="420">
        <v>2203</v>
      </c>
      <c r="Q14" s="310">
        <v>8.4406130268199236E-2</v>
      </c>
      <c r="R14" s="403">
        <v>2264</v>
      </c>
      <c r="S14" s="74">
        <v>8.4848030581268968E-2</v>
      </c>
      <c r="T14" s="403">
        <v>2209</v>
      </c>
      <c r="U14" s="89">
        <v>8.5273113298591011E-2</v>
      </c>
      <c r="V14" s="403">
        <v>2159</v>
      </c>
      <c r="W14" s="74">
        <v>8.5920089143584844E-2</v>
      </c>
      <c r="X14" s="420">
        <v>2234</v>
      </c>
      <c r="Y14" s="310">
        <v>8.496234882482695E-2</v>
      </c>
      <c r="Z14" s="420">
        <v>2113</v>
      </c>
      <c r="AA14" s="310">
        <v>8.5411698128461139E-2</v>
      </c>
      <c r="AB14" s="420">
        <v>2071</v>
      </c>
      <c r="AC14" s="310">
        <v>8.9328847481021392E-2</v>
      </c>
      <c r="AD14" s="403">
        <v>2173</v>
      </c>
      <c r="AE14" s="74">
        <v>8.5158913665399544E-2</v>
      </c>
      <c r="AF14" s="403">
        <v>1919</v>
      </c>
      <c r="AG14" s="89">
        <v>8.5646701776309911E-2</v>
      </c>
      <c r="AH14" s="403">
        <v>1897</v>
      </c>
      <c r="AI14" s="89">
        <v>9.8310530679933658E-2</v>
      </c>
    </row>
    <row r="15" spans="1:36" outlineLevel="1" x14ac:dyDescent="0.3">
      <c r="B15" s="105" t="s">
        <v>393</v>
      </c>
      <c r="C15" s="294">
        <v>3</v>
      </c>
      <c r="D15" s="403">
        <v>2333.3333333333335</v>
      </c>
      <c r="E15" s="74">
        <v>8.6190974573662496E-2</v>
      </c>
      <c r="F15" s="420">
        <v>2353</v>
      </c>
      <c r="G15" s="310">
        <v>8.691637115839243E-2</v>
      </c>
      <c r="H15" s="420">
        <v>2249</v>
      </c>
      <c r="I15" s="310">
        <v>8.3074763593380618E-2</v>
      </c>
      <c r="J15" s="420">
        <v>2250</v>
      </c>
      <c r="K15" s="310">
        <v>8.3111702127659573E-2</v>
      </c>
      <c r="L15" s="420">
        <v>2338</v>
      </c>
      <c r="M15" s="310">
        <v>8.6988875246493277E-2</v>
      </c>
      <c r="N15" s="420">
        <v>2200</v>
      </c>
      <c r="O15" s="310">
        <v>8.3056478405315617E-2</v>
      </c>
      <c r="P15" s="420">
        <v>2188</v>
      </c>
      <c r="Q15" s="310">
        <v>8.3831417624521079E-2</v>
      </c>
      <c r="R15" s="403">
        <v>2324</v>
      </c>
      <c r="S15" s="74">
        <v>8.7096653299853846E-2</v>
      </c>
      <c r="T15" s="403">
        <v>2154</v>
      </c>
      <c r="U15" s="89">
        <v>8.3149971048060226E-2</v>
      </c>
      <c r="V15" s="403">
        <v>2125</v>
      </c>
      <c r="W15" s="74">
        <v>8.4567016873607126E-2</v>
      </c>
      <c r="X15" s="420">
        <v>2294</v>
      </c>
      <c r="Y15" s="310">
        <v>8.7244238229253826E-2</v>
      </c>
      <c r="Z15" s="420">
        <v>2059</v>
      </c>
      <c r="AA15" s="310">
        <v>8.3228909818505198E-2</v>
      </c>
      <c r="AB15" s="420">
        <v>2002</v>
      </c>
      <c r="AC15" s="310">
        <v>8.6352657004830913E-2</v>
      </c>
      <c r="AD15" s="403">
        <v>2233</v>
      </c>
      <c r="AE15" s="74">
        <v>8.7510287259474073E-2</v>
      </c>
      <c r="AF15" s="403">
        <v>1867</v>
      </c>
      <c r="AG15" s="89">
        <v>8.3325894849593865E-2</v>
      </c>
      <c r="AH15" s="403">
        <v>1751</v>
      </c>
      <c r="AI15" s="89">
        <v>9.0744195688225546E-2</v>
      </c>
    </row>
    <row r="16" spans="1:36" outlineLevel="1" x14ac:dyDescent="0.3">
      <c r="B16" s="105" t="s">
        <v>384</v>
      </c>
      <c r="C16" s="294">
        <v>4</v>
      </c>
      <c r="D16" s="403">
        <v>2239.6666666666665</v>
      </c>
      <c r="E16" s="74">
        <v>8.2731022594348308E-2</v>
      </c>
      <c r="F16" s="420">
        <v>2314</v>
      </c>
      <c r="G16" s="310">
        <v>8.5475768321513004E-2</v>
      </c>
      <c r="H16" s="420">
        <v>2253</v>
      </c>
      <c r="I16" s="310">
        <v>8.3222517730496451E-2</v>
      </c>
      <c r="J16" s="420">
        <v>2270</v>
      </c>
      <c r="K16" s="310">
        <v>8.3850472813238777E-2</v>
      </c>
      <c r="L16" s="420">
        <v>2299</v>
      </c>
      <c r="M16" s="310">
        <v>8.5537820441269494E-2</v>
      </c>
      <c r="N16" s="420">
        <v>2204</v>
      </c>
      <c r="O16" s="310">
        <v>8.3207490184234373E-2</v>
      </c>
      <c r="P16" s="420">
        <v>2188</v>
      </c>
      <c r="Q16" s="310">
        <v>8.3831417624521079E-2</v>
      </c>
      <c r="R16" s="403">
        <v>2284</v>
      </c>
      <c r="S16" s="74">
        <v>8.5597571487463928E-2</v>
      </c>
      <c r="T16" s="403">
        <v>2157</v>
      </c>
      <c r="U16" s="89">
        <v>8.3265778807180085E-2</v>
      </c>
      <c r="V16" s="403">
        <v>2102</v>
      </c>
      <c r="W16" s="74">
        <v>8.365170327921044E-2</v>
      </c>
      <c r="X16" s="420">
        <v>2255</v>
      </c>
      <c r="Y16" s="310">
        <v>8.5761010116376366E-2</v>
      </c>
      <c r="Z16" s="420">
        <v>2063</v>
      </c>
      <c r="AA16" s="310">
        <v>8.3390597841464895E-2</v>
      </c>
      <c r="AB16" s="420">
        <v>1934</v>
      </c>
      <c r="AC16" s="310">
        <v>8.3419599723947552E-2</v>
      </c>
      <c r="AD16" s="403">
        <v>2194</v>
      </c>
      <c r="AE16" s="74">
        <v>8.5981894423325628E-2</v>
      </c>
      <c r="AF16" s="403">
        <v>1872</v>
      </c>
      <c r="AG16" s="89">
        <v>8.3549049361778094E-2</v>
      </c>
      <c r="AH16" s="403">
        <v>1597</v>
      </c>
      <c r="AI16" s="89">
        <v>8.276326699834162E-2</v>
      </c>
    </row>
    <row r="17" spans="1:35" outlineLevel="1" x14ac:dyDescent="0.3">
      <c r="B17" s="105" t="s">
        <v>385</v>
      </c>
      <c r="C17" s="294">
        <v>5</v>
      </c>
      <c r="D17" s="403">
        <v>2105</v>
      </c>
      <c r="E17" s="74">
        <v>7.7756572061811233E-2</v>
      </c>
      <c r="F17" s="420">
        <v>2139</v>
      </c>
      <c r="G17" s="310">
        <v>7.9011524822695037E-2</v>
      </c>
      <c r="H17" s="420">
        <v>2245</v>
      </c>
      <c r="I17" s="310">
        <v>8.2927009456264772E-2</v>
      </c>
      <c r="J17" s="420">
        <v>2156</v>
      </c>
      <c r="K17" s="310">
        <v>7.9639479905437349E-2</v>
      </c>
      <c r="L17" s="420">
        <v>2124</v>
      </c>
      <c r="M17" s="310">
        <v>7.9026677084496039E-2</v>
      </c>
      <c r="N17" s="420">
        <v>2193</v>
      </c>
      <c r="O17" s="310">
        <v>8.2792207792207792E-2</v>
      </c>
      <c r="P17" s="420">
        <v>2060</v>
      </c>
      <c r="Q17" s="310">
        <v>7.8927203065134094E-2</v>
      </c>
      <c r="R17" s="403">
        <v>2109</v>
      </c>
      <c r="S17" s="74">
        <v>7.9039088558258072E-2</v>
      </c>
      <c r="T17" s="403">
        <v>2141</v>
      </c>
      <c r="U17" s="89">
        <v>8.2648137425207491E-2</v>
      </c>
      <c r="V17" s="403">
        <v>1967</v>
      </c>
      <c r="W17" s="74">
        <v>7.8279210442534219E-2</v>
      </c>
      <c r="X17" s="420">
        <v>2079</v>
      </c>
      <c r="Y17" s="310">
        <v>7.9067467863390889E-2</v>
      </c>
      <c r="Z17" s="420">
        <v>2038</v>
      </c>
      <c r="AA17" s="310">
        <v>8.238004769796678E-2</v>
      </c>
      <c r="AB17" s="420">
        <v>1781</v>
      </c>
      <c r="AC17" s="310">
        <v>7.6820220841959969E-2</v>
      </c>
      <c r="AD17" s="403">
        <v>2020</v>
      </c>
      <c r="AE17" s="74">
        <v>7.916291100050947E-2</v>
      </c>
      <c r="AF17" s="403">
        <v>1827</v>
      </c>
      <c r="AG17" s="89">
        <v>8.1540658752119966E-2</v>
      </c>
      <c r="AH17" s="403">
        <v>1405</v>
      </c>
      <c r="AI17" s="89">
        <v>7.2813018242122718E-2</v>
      </c>
    </row>
    <row r="18" spans="1:35" outlineLevel="1" x14ac:dyDescent="0.3">
      <c r="B18" s="105" t="s">
        <v>394</v>
      </c>
      <c r="C18" s="294">
        <v>6</v>
      </c>
      <c r="D18" s="403">
        <v>1919.3333333333333</v>
      </c>
      <c r="E18" s="74">
        <v>7.0898233085021231E-2</v>
      </c>
      <c r="F18" s="420">
        <v>1983</v>
      </c>
      <c r="G18" s="310">
        <v>7.3249113475177305E-2</v>
      </c>
      <c r="H18" s="420">
        <v>2098</v>
      </c>
      <c r="I18" s="310">
        <v>7.7497044917257688E-2</v>
      </c>
      <c r="J18" s="420">
        <v>2050</v>
      </c>
      <c r="K18" s="310">
        <v>7.5723995271867614E-2</v>
      </c>
      <c r="L18" s="420">
        <v>1968</v>
      </c>
      <c r="M18" s="310">
        <v>7.3222457863600848E-2</v>
      </c>
      <c r="N18" s="420">
        <v>2041</v>
      </c>
      <c r="O18" s="310">
        <v>7.7053760193295073E-2</v>
      </c>
      <c r="P18" s="420">
        <v>1945</v>
      </c>
      <c r="Q18" s="310">
        <v>7.4521072796934859E-2</v>
      </c>
      <c r="R18" s="403">
        <v>1953</v>
      </c>
      <c r="S18" s="74">
        <v>7.3192669489937412E-2</v>
      </c>
      <c r="T18" s="403">
        <v>1986</v>
      </c>
      <c r="U18" s="89">
        <v>7.6664736537347997E-2</v>
      </c>
      <c r="V18" s="403">
        <v>1843</v>
      </c>
      <c r="W18" s="74">
        <v>7.3344476281439031E-2</v>
      </c>
      <c r="X18" s="420">
        <v>1923</v>
      </c>
      <c r="Y18" s="310">
        <v>7.3134555411881033E-2</v>
      </c>
      <c r="Z18" s="420">
        <v>1877</v>
      </c>
      <c r="AA18" s="310">
        <v>7.5872104773838878E-2</v>
      </c>
      <c r="AB18" s="420">
        <v>1638</v>
      </c>
      <c r="AC18" s="310">
        <v>7.0652173913043473E-2</v>
      </c>
      <c r="AD18" s="403">
        <v>1864</v>
      </c>
      <c r="AE18" s="74">
        <v>7.304933965591566E-2</v>
      </c>
      <c r="AF18" s="403">
        <v>1656</v>
      </c>
      <c r="AG18" s="89">
        <v>7.3908774435419086E-2</v>
      </c>
      <c r="AH18" s="403">
        <v>1226</v>
      </c>
      <c r="AI18" s="89">
        <v>6.3536484245439465E-2</v>
      </c>
    </row>
    <row r="19" spans="1:35" outlineLevel="1" x14ac:dyDescent="0.3">
      <c r="B19" s="105" t="s">
        <v>386</v>
      </c>
      <c r="C19" s="294">
        <v>7</v>
      </c>
      <c r="D19" s="403">
        <v>1873.5</v>
      </c>
      <c r="E19" s="74">
        <v>6.9205196084467138E-2</v>
      </c>
      <c r="F19" s="420">
        <v>1858</v>
      </c>
      <c r="G19" s="310">
        <v>6.8631796690307334E-2</v>
      </c>
      <c r="H19" s="420">
        <v>1965</v>
      </c>
      <c r="I19" s="310">
        <v>7.2584219858156024E-2</v>
      </c>
      <c r="J19" s="420">
        <v>2067</v>
      </c>
      <c r="K19" s="310">
        <v>7.6351950354609927E-2</v>
      </c>
      <c r="L19" s="420">
        <v>1843</v>
      </c>
      <c r="M19" s="310">
        <v>6.857164118019124E-2</v>
      </c>
      <c r="N19" s="420">
        <v>1911</v>
      </c>
      <c r="O19" s="310">
        <v>7.2145877378435516E-2</v>
      </c>
      <c r="P19" s="420">
        <v>1961</v>
      </c>
      <c r="Q19" s="310">
        <v>7.5134099616858241E-2</v>
      </c>
      <c r="R19" s="403">
        <v>1828</v>
      </c>
      <c r="S19" s="74">
        <v>6.8508038826218948E-2</v>
      </c>
      <c r="T19" s="403">
        <v>1857</v>
      </c>
      <c r="U19" s="89">
        <v>7.1685002895193972E-2</v>
      </c>
      <c r="V19" s="403">
        <v>1855</v>
      </c>
      <c r="W19" s="74">
        <v>7.3822031200254698E-2</v>
      </c>
      <c r="X19" s="420">
        <v>1798</v>
      </c>
      <c r="Y19" s="310">
        <v>6.8380619152658403E-2</v>
      </c>
      <c r="Z19" s="420">
        <v>1749</v>
      </c>
      <c r="AA19" s="310">
        <v>7.0698088039128498E-2</v>
      </c>
      <c r="AB19" s="420">
        <v>1643</v>
      </c>
      <c r="AC19" s="310">
        <v>7.0867839889579023E-2</v>
      </c>
      <c r="AD19" s="403">
        <v>1739</v>
      </c>
      <c r="AE19" s="74">
        <v>6.8150644668260374E-2</v>
      </c>
      <c r="AF19" s="403">
        <v>1536</v>
      </c>
      <c r="AG19" s="89">
        <v>6.8553066142997415E-2</v>
      </c>
      <c r="AH19" s="403">
        <v>1211</v>
      </c>
      <c r="AI19" s="89">
        <v>6.2759121061359863E-2</v>
      </c>
    </row>
    <row r="20" spans="1:35" outlineLevel="1" x14ac:dyDescent="0.3">
      <c r="B20" s="105" t="s">
        <v>387</v>
      </c>
      <c r="C20" s="294">
        <v>8</v>
      </c>
      <c r="D20" s="403">
        <v>1829.6666666666667</v>
      </c>
      <c r="E20" s="74">
        <v>6.7586037062119061E-2</v>
      </c>
      <c r="F20" s="420">
        <v>1840</v>
      </c>
      <c r="G20" s="310">
        <v>6.7966903073286053E-2</v>
      </c>
      <c r="H20" s="420">
        <v>1901</v>
      </c>
      <c r="I20" s="310">
        <v>7.0220153664302606E-2</v>
      </c>
      <c r="J20" s="420">
        <v>2015</v>
      </c>
      <c r="K20" s="310">
        <v>7.4431146572104021E-2</v>
      </c>
      <c r="L20" s="420">
        <v>1825</v>
      </c>
      <c r="M20" s="310">
        <v>6.7901923577780257E-2</v>
      </c>
      <c r="N20" s="420">
        <v>1852</v>
      </c>
      <c r="O20" s="310">
        <v>6.9918453639383871E-2</v>
      </c>
      <c r="P20" s="420">
        <v>1915</v>
      </c>
      <c r="Q20" s="310">
        <v>7.3371647509578544E-2</v>
      </c>
      <c r="R20" s="403">
        <v>1810</v>
      </c>
      <c r="S20" s="74">
        <v>6.7833452010643475E-2</v>
      </c>
      <c r="T20" s="403">
        <v>1804</v>
      </c>
      <c r="U20" s="89">
        <v>6.9639065817409765E-2</v>
      </c>
      <c r="V20" s="403">
        <v>1816</v>
      </c>
      <c r="W20" s="74">
        <v>7.2269977714103789E-2</v>
      </c>
      <c r="X20" s="420">
        <v>1780</v>
      </c>
      <c r="Y20" s="310">
        <v>6.7696052331330345E-2</v>
      </c>
      <c r="Z20" s="420">
        <v>1705</v>
      </c>
      <c r="AA20" s="310">
        <v>6.8919519786571806E-2</v>
      </c>
      <c r="AB20" s="420">
        <v>1622</v>
      </c>
      <c r="AC20" s="310">
        <v>6.9962042788129744E-2</v>
      </c>
      <c r="AD20" s="403">
        <v>1721</v>
      </c>
      <c r="AE20" s="74">
        <v>6.7445232590038012E-2</v>
      </c>
      <c r="AF20" s="403">
        <v>1512</v>
      </c>
      <c r="AG20" s="89">
        <v>6.7481924484513081E-2</v>
      </c>
      <c r="AH20" s="403">
        <v>1228</v>
      </c>
      <c r="AI20" s="89">
        <v>6.3640132669983418E-2</v>
      </c>
    </row>
    <row r="21" spans="1:35" outlineLevel="1" x14ac:dyDescent="0.3">
      <c r="B21" s="105" t="s">
        <v>388</v>
      </c>
      <c r="C21" s="294">
        <v>9</v>
      </c>
      <c r="D21" s="403">
        <v>2257</v>
      </c>
      <c r="E21" s="74">
        <v>8.3371298405466962E-2</v>
      </c>
      <c r="F21" s="420">
        <v>2079</v>
      </c>
      <c r="G21" s="310">
        <v>7.6795212765957452E-2</v>
      </c>
      <c r="H21" s="420">
        <v>2092</v>
      </c>
      <c r="I21" s="310">
        <v>7.7275413711583918E-2</v>
      </c>
      <c r="J21" s="420">
        <v>2218</v>
      </c>
      <c r="K21" s="310">
        <v>8.1929669030732857E-2</v>
      </c>
      <c r="L21" s="420">
        <v>2064</v>
      </c>
      <c r="M21" s="310">
        <v>7.6794285076459426E-2</v>
      </c>
      <c r="N21" s="420">
        <v>2040</v>
      </c>
      <c r="O21" s="310">
        <v>7.7016007248565388E-2</v>
      </c>
      <c r="P21" s="420">
        <v>2115</v>
      </c>
      <c r="Q21" s="310">
        <v>8.1034482758620685E-2</v>
      </c>
      <c r="R21" s="403">
        <v>2049</v>
      </c>
      <c r="S21" s="74">
        <v>7.6790465839673194E-2</v>
      </c>
      <c r="T21" s="403">
        <v>1986</v>
      </c>
      <c r="U21" s="89">
        <v>7.6664736537347997E-2</v>
      </c>
      <c r="V21" s="403">
        <v>2012</v>
      </c>
      <c r="W21" s="74">
        <v>8.0070041388092969E-2</v>
      </c>
      <c r="X21" s="420">
        <v>2019</v>
      </c>
      <c r="Y21" s="310">
        <v>7.6785578458964027E-2</v>
      </c>
      <c r="Z21" s="420">
        <v>1881</v>
      </c>
      <c r="AA21" s="310">
        <v>7.6033792796798574E-2</v>
      </c>
      <c r="AB21" s="420">
        <v>1805</v>
      </c>
      <c r="AC21" s="310">
        <v>7.7855417529330576E-2</v>
      </c>
      <c r="AD21" s="403">
        <v>1960</v>
      </c>
      <c r="AE21" s="74">
        <v>7.6811537406434927E-2</v>
      </c>
      <c r="AF21" s="403">
        <v>1671</v>
      </c>
      <c r="AG21" s="89">
        <v>7.4578237971971786E-2</v>
      </c>
      <c r="AH21" s="403">
        <v>1394</v>
      </c>
      <c r="AI21" s="89">
        <v>7.2242951907131009E-2</v>
      </c>
    </row>
    <row r="22" spans="1:35" outlineLevel="1" x14ac:dyDescent="0.3">
      <c r="B22" s="105" t="s">
        <v>389</v>
      </c>
      <c r="C22" s="294">
        <v>10</v>
      </c>
      <c r="D22" s="403">
        <v>2075.5</v>
      </c>
      <c r="E22" s="74">
        <v>7.6666871883272786E-2</v>
      </c>
      <c r="F22" s="420">
        <v>2123</v>
      </c>
      <c r="G22" s="310">
        <v>7.8420508274231679E-2</v>
      </c>
      <c r="H22" s="420">
        <v>1986</v>
      </c>
      <c r="I22" s="310">
        <v>7.3359929078014183E-2</v>
      </c>
      <c r="J22" s="420">
        <v>2057</v>
      </c>
      <c r="K22" s="310">
        <v>7.5982565011820324E-2</v>
      </c>
      <c r="L22" s="420">
        <v>2108</v>
      </c>
      <c r="M22" s="310">
        <v>7.8431372549019607E-2</v>
      </c>
      <c r="N22" s="420">
        <v>1940</v>
      </c>
      <c r="O22" s="310">
        <v>7.3240712775596503E-2</v>
      </c>
      <c r="P22" s="420">
        <v>1971</v>
      </c>
      <c r="Q22" s="310">
        <v>7.5517241379310346E-2</v>
      </c>
      <c r="R22" s="403">
        <v>2093</v>
      </c>
      <c r="S22" s="74">
        <v>7.8439455833302099E-2</v>
      </c>
      <c r="T22" s="403">
        <v>1893</v>
      </c>
      <c r="U22" s="89">
        <v>7.3074696004632317E-2</v>
      </c>
      <c r="V22" s="403">
        <v>1886</v>
      </c>
      <c r="W22" s="74">
        <v>7.5055714740528495E-2</v>
      </c>
      <c r="X22" s="420">
        <v>2063</v>
      </c>
      <c r="Y22" s="310">
        <v>7.8458964022210392E-2</v>
      </c>
      <c r="Z22" s="420">
        <v>1800</v>
      </c>
      <c r="AA22" s="310">
        <v>7.2759610331864663E-2</v>
      </c>
      <c r="AB22" s="420">
        <v>1711</v>
      </c>
      <c r="AC22" s="310">
        <v>7.3800897170462385E-2</v>
      </c>
      <c r="AD22" s="403">
        <v>2004</v>
      </c>
      <c r="AE22" s="74">
        <v>7.8535878042089585E-2</v>
      </c>
      <c r="AF22" s="403">
        <v>1614</v>
      </c>
      <c r="AG22" s="89">
        <v>7.2034276533071498E-2</v>
      </c>
      <c r="AH22" s="403">
        <v>1368</v>
      </c>
      <c r="AI22" s="89">
        <v>7.0895522388059698E-2</v>
      </c>
    </row>
    <row r="23" spans="1:35" outlineLevel="1" x14ac:dyDescent="0.3">
      <c r="B23" s="105" t="s">
        <v>390</v>
      </c>
      <c r="C23" s="294">
        <v>11</v>
      </c>
      <c r="D23" s="403">
        <v>1874.1666666666667</v>
      </c>
      <c r="E23" s="74">
        <v>6.9229822077202477E-2</v>
      </c>
      <c r="F23" s="420">
        <v>1866</v>
      </c>
      <c r="G23" s="310">
        <v>6.8927304964539013E-2</v>
      </c>
      <c r="H23" s="420">
        <v>1779</v>
      </c>
      <c r="I23" s="310">
        <v>6.57136524822695E-2</v>
      </c>
      <c r="J23" s="420">
        <v>1798</v>
      </c>
      <c r="K23" s="310">
        <v>6.6415484633569735E-2</v>
      </c>
      <c r="L23" s="420">
        <v>1851</v>
      </c>
      <c r="M23" s="310">
        <v>6.8869293447929456E-2</v>
      </c>
      <c r="N23" s="420">
        <v>1737</v>
      </c>
      <c r="O23" s="310">
        <v>6.557686499546965E-2</v>
      </c>
      <c r="P23" s="420">
        <v>1722</v>
      </c>
      <c r="Q23" s="310">
        <v>6.5977011494252877E-2</v>
      </c>
      <c r="R23" s="403">
        <v>1836</v>
      </c>
      <c r="S23" s="74">
        <v>6.880785518869692E-2</v>
      </c>
      <c r="T23" s="403">
        <v>1695</v>
      </c>
      <c r="U23" s="89">
        <v>6.5431383902721477E-2</v>
      </c>
      <c r="V23" s="403">
        <v>1644</v>
      </c>
      <c r="W23" s="74">
        <v>6.5425023877745944E-2</v>
      </c>
      <c r="X23" s="420">
        <v>1806</v>
      </c>
      <c r="Y23" s="310">
        <v>6.8684871073248652E-2</v>
      </c>
      <c r="Z23" s="420">
        <v>1609</v>
      </c>
      <c r="AA23" s="310">
        <v>6.5039007235539029E-2</v>
      </c>
      <c r="AB23" s="420">
        <v>1491</v>
      </c>
      <c r="AC23" s="310">
        <v>6.4311594202898545E-2</v>
      </c>
      <c r="AD23" s="403">
        <v>1747</v>
      </c>
      <c r="AE23" s="74">
        <v>6.8464161147470309E-2</v>
      </c>
      <c r="AF23" s="403">
        <v>1441</v>
      </c>
      <c r="AG23" s="89">
        <v>6.4313130411496916E-2</v>
      </c>
      <c r="AH23" s="403">
        <v>1187</v>
      </c>
      <c r="AI23" s="89">
        <v>6.1515339966832505E-2</v>
      </c>
    </row>
    <row r="24" spans="1:35" outlineLevel="1" x14ac:dyDescent="0.3">
      <c r="B24" s="105" t="s">
        <v>391</v>
      </c>
      <c r="C24" s="294">
        <v>12</v>
      </c>
      <c r="D24" s="403">
        <v>1655</v>
      </c>
      <c r="E24" s="74">
        <v>6.1134026965462031E-2</v>
      </c>
      <c r="F24" s="420">
        <v>1721</v>
      </c>
      <c r="G24" s="310">
        <v>6.3571217494089838E-2</v>
      </c>
      <c r="H24" s="420">
        <v>1770</v>
      </c>
      <c r="I24" s="310">
        <v>6.5381205673758866E-2</v>
      </c>
      <c r="J24" s="420">
        <v>1669</v>
      </c>
      <c r="K24" s="310">
        <v>6.1650413711583925E-2</v>
      </c>
      <c r="L24" s="420">
        <v>1706</v>
      </c>
      <c r="M24" s="310">
        <v>6.3474346095174314E-2</v>
      </c>
      <c r="N24" s="420">
        <v>1725</v>
      </c>
      <c r="O24" s="310">
        <v>6.5123829658713384E-2</v>
      </c>
      <c r="P24" s="420">
        <v>1593</v>
      </c>
      <c r="Q24" s="310">
        <v>6.1034482758620688E-2</v>
      </c>
      <c r="R24" s="403">
        <v>1691</v>
      </c>
      <c r="S24" s="74">
        <v>6.3373683618783497E-2</v>
      </c>
      <c r="T24" s="403">
        <v>1680</v>
      </c>
      <c r="U24" s="89">
        <v>6.4852345107122178E-2</v>
      </c>
      <c r="V24" s="403">
        <v>1519</v>
      </c>
      <c r="W24" s="74">
        <v>6.0450493473416113E-2</v>
      </c>
      <c r="X24" s="420">
        <v>1661</v>
      </c>
      <c r="Y24" s="310">
        <v>6.3170305012550387E-2</v>
      </c>
      <c r="Z24" s="420">
        <v>1588</v>
      </c>
      <c r="AA24" s="310">
        <v>6.419014511500061E-2</v>
      </c>
      <c r="AB24" s="420">
        <v>1364</v>
      </c>
      <c r="AC24" s="310">
        <v>5.8833678398895792E-2</v>
      </c>
      <c r="AD24" s="403">
        <v>1602</v>
      </c>
      <c r="AE24" s="74">
        <v>6.2781674961790185E-2</v>
      </c>
      <c r="AF24" s="403">
        <v>1409</v>
      </c>
      <c r="AG24" s="89">
        <v>6.2884941533517813E-2</v>
      </c>
      <c r="AH24" s="403">
        <v>1062</v>
      </c>
      <c r="AI24" s="89">
        <v>5.503731343283582E-2</v>
      </c>
    </row>
    <row r="25" spans="1:35" s="108" customFormat="1" outlineLevel="1" x14ac:dyDescent="0.3">
      <c r="A25" s="137" t="s">
        <v>283</v>
      </c>
      <c r="B25" s="107" t="s">
        <v>300</v>
      </c>
      <c r="C25" s="295"/>
      <c r="D25" s="404"/>
      <c r="E25" s="65" t="s">
        <v>287</v>
      </c>
      <c r="F25" s="421"/>
      <c r="G25" s="73" t="s">
        <v>287</v>
      </c>
      <c r="H25" s="297"/>
      <c r="I25" s="73" t="s">
        <v>287</v>
      </c>
      <c r="J25" s="421"/>
      <c r="K25" s="73" t="s">
        <v>287</v>
      </c>
      <c r="L25" s="421"/>
      <c r="M25" s="73" t="s">
        <v>287</v>
      </c>
      <c r="N25" s="297"/>
      <c r="O25" s="73" t="s">
        <v>287</v>
      </c>
      <c r="P25" s="421"/>
      <c r="Q25" s="73" t="s">
        <v>287</v>
      </c>
      <c r="R25" s="414"/>
      <c r="S25" s="65" t="s">
        <v>287</v>
      </c>
      <c r="T25" s="63"/>
      <c r="U25" s="63" t="s">
        <v>287</v>
      </c>
      <c r="V25" s="414"/>
      <c r="W25" s="65" t="s">
        <v>287</v>
      </c>
      <c r="X25" s="421"/>
      <c r="Y25" s="73" t="s">
        <v>287</v>
      </c>
      <c r="Z25" s="297"/>
      <c r="AA25" s="73" t="s">
        <v>287</v>
      </c>
      <c r="AB25" s="421"/>
      <c r="AC25" s="73" t="s">
        <v>287</v>
      </c>
      <c r="AD25" s="414"/>
      <c r="AE25" s="65" t="s">
        <v>287</v>
      </c>
      <c r="AF25" s="63"/>
      <c r="AG25" s="63" t="s">
        <v>287</v>
      </c>
      <c r="AH25" s="414"/>
      <c r="AI25" s="63" t="s">
        <v>287</v>
      </c>
    </row>
    <row r="26" spans="1:35" s="108" customFormat="1" outlineLevel="1" x14ac:dyDescent="0.3">
      <c r="A26" s="137"/>
      <c r="B26" s="109" t="s">
        <v>431</v>
      </c>
      <c r="C26" s="296"/>
      <c r="D26" s="405">
        <f>'Projection Setting'!J55</f>
        <v>16243</v>
      </c>
      <c r="E26" s="77">
        <f>D26/D$10</f>
        <v>0.59999999999999987</v>
      </c>
      <c r="F26" s="422">
        <f>$D26-(F49-$D49)</f>
        <v>16243</v>
      </c>
      <c r="G26" s="85">
        <f>F26/F$10</f>
        <v>0.59999261229314416</v>
      </c>
      <c r="H26" s="422">
        <f>$D26-(H49-$D49)</f>
        <v>16243</v>
      </c>
      <c r="I26" s="85">
        <f>H26/H$10</f>
        <v>0.59999261229314416</v>
      </c>
      <c r="J26" s="422">
        <f>$D26-(J49-$D49)</f>
        <v>16243</v>
      </c>
      <c r="K26" s="85">
        <f>J26/J$10</f>
        <v>0.59999261229314416</v>
      </c>
      <c r="L26" s="422">
        <f>$D26-(L49-$D49)</f>
        <v>16161</v>
      </c>
      <c r="M26" s="85">
        <f>L26/L$10</f>
        <v>0.60129478736466124</v>
      </c>
      <c r="N26" s="422">
        <f>$D26-(N49-$D49)</f>
        <v>15996</v>
      </c>
      <c r="O26" s="85">
        <f>N26/N$10</f>
        <v>0.60389610389610393</v>
      </c>
      <c r="P26" s="422">
        <f>$D26-(P49-$D49)</f>
        <v>15832</v>
      </c>
      <c r="Q26" s="85">
        <f>P26/P$10</f>
        <v>0.60659003831417624</v>
      </c>
      <c r="R26" s="441">
        <f>$D26-(R49-$D49)</f>
        <v>16078</v>
      </c>
      <c r="S26" s="86">
        <f t="shared" ref="S26:S31" si="0">R26/R$10</f>
        <v>0.60255593449012479</v>
      </c>
      <c r="T26" s="441">
        <f>$D26-(T49-$D49)</f>
        <v>15749</v>
      </c>
      <c r="U26" s="88">
        <f>T26/T$10</f>
        <v>0.60795213279289717</v>
      </c>
      <c r="V26" s="441">
        <f>$D26-(V49-$D49)</f>
        <v>15420</v>
      </c>
      <c r="W26" s="86">
        <f>V26/V$10</f>
        <v>0.61365807067812794</v>
      </c>
      <c r="X26" s="422">
        <f>$D26-(X49-$D49)</f>
        <v>15914</v>
      </c>
      <c r="Y26" s="87">
        <f t="shared" ref="Y26:Y31" si="1">X26/X$10</f>
        <v>0.60523313303415227</v>
      </c>
      <c r="Z26" s="422">
        <f>$D26-(Z49-$D49)</f>
        <v>15255</v>
      </c>
      <c r="AA26" s="85">
        <f>Z26/Z$10</f>
        <v>0.61663769756255304</v>
      </c>
      <c r="AB26" s="422">
        <f>$D26-(AB49-$D49)</f>
        <v>14596</v>
      </c>
      <c r="AC26" s="85">
        <f>AB26/AB$10</f>
        <v>0.62957211870255347</v>
      </c>
      <c r="AD26" s="441">
        <f>$D26-(AD49-$D49)</f>
        <v>15585</v>
      </c>
      <c r="AE26" s="86">
        <f t="shared" ref="AE26:AE31" si="2">AD26/AD$10</f>
        <v>0.61076929106086142</v>
      </c>
      <c r="AF26" s="441">
        <f>$D26-(AF49-$D49)</f>
        <v>14267</v>
      </c>
      <c r="AG26" s="88">
        <f>AF26/AF$10</f>
        <v>0.63674908506650008</v>
      </c>
      <c r="AH26" s="441">
        <f>$D26-(AH49-$D49)</f>
        <v>12950</v>
      </c>
      <c r="AI26" s="88">
        <f>AH26/AH$10</f>
        <v>0.67112354892205639</v>
      </c>
    </row>
    <row r="27" spans="1:35" outlineLevel="1" x14ac:dyDescent="0.3">
      <c r="B27" s="109" t="s">
        <v>216</v>
      </c>
      <c r="C27" s="296"/>
      <c r="D27" s="405">
        <f>SUM(D28:D30)</f>
        <v>3962</v>
      </c>
      <c r="E27" s="77">
        <f>D27/D$10</f>
        <v>0.1463522748260789</v>
      </c>
      <c r="F27" s="423">
        <f>SUM(F28:F30)</f>
        <v>3962</v>
      </c>
      <c r="G27" s="78">
        <f>F27/F$10</f>
        <v>0.14635047281323876</v>
      </c>
      <c r="H27" s="423">
        <f>SUM(H28:H30)</f>
        <v>3962</v>
      </c>
      <c r="I27" s="78">
        <f>H27/H$10</f>
        <v>0.14635047281323876</v>
      </c>
      <c r="J27" s="423">
        <f>SUM(J28:J30)</f>
        <v>3962</v>
      </c>
      <c r="K27" s="78">
        <f>J27/J$10</f>
        <v>0.14635047281323876</v>
      </c>
      <c r="L27" s="423">
        <f>SUM(L28:L30)</f>
        <v>3928</v>
      </c>
      <c r="M27" s="78">
        <f>L27/L$10</f>
        <v>0.14614726345946349</v>
      </c>
      <c r="N27" s="423">
        <f>SUM(N28:N30)</f>
        <v>3862</v>
      </c>
      <c r="O27" s="78">
        <f>N27/N$10</f>
        <v>0.14580187254605859</v>
      </c>
      <c r="P27" s="423">
        <f>SUM(P28:P30)</f>
        <v>3796</v>
      </c>
      <c r="Q27" s="78">
        <f>P27/P$10</f>
        <v>0.14544061302681993</v>
      </c>
      <c r="R27" s="409">
        <f>SUM(R28:R30)</f>
        <v>3896</v>
      </c>
      <c r="S27" s="77">
        <f t="shared" si="0"/>
        <v>0.14601056852677735</v>
      </c>
      <c r="T27" s="409">
        <f>SUM(T28:T30)</f>
        <v>3762</v>
      </c>
      <c r="U27" s="80">
        <f>T27/T$10</f>
        <v>0.14522292993630573</v>
      </c>
      <c r="V27" s="409">
        <f>SUM(V28:V30)</f>
        <v>3628</v>
      </c>
      <c r="W27" s="80">
        <f>V27/V$10</f>
        <v>0.14438077045526904</v>
      </c>
      <c r="X27" s="423">
        <f>SUM(X28:X30)</f>
        <v>3828</v>
      </c>
      <c r="Y27" s="79">
        <f t="shared" si="1"/>
        <v>0.14558454400243401</v>
      </c>
      <c r="Z27" s="423">
        <f>SUM(Z28:Z30)</f>
        <v>3562</v>
      </c>
      <c r="AA27" s="78">
        <f>Z27/Z$10</f>
        <v>0.1439831844456122</v>
      </c>
      <c r="AB27" s="423">
        <f>SUM(AB28:AB30)</f>
        <v>3295</v>
      </c>
      <c r="AC27" s="78">
        <f>AB27/AB$10</f>
        <v>0.14212387853692202</v>
      </c>
      <c r="AD27" s="409">
        <f>SUM(AD28:AD30)</f>
        <v>3696</v>
      </c>
      <c r="AE27" s="77">
        <f t="shared" si="2"/>
        <v>0.14484461339499158</v>
      </c>
      <c r="AF27" s="409">
        <f>SUM(AF28:AF30)</f>
        <v>3162</v>
      </c>
      <c r="AG27" s="80">
        <f>AF27/AF$10</f>
        <v>0.14112291350531109</v>
      </c>
      <c r="AH27" s="409">
        <f>SUM(AH28:AH30)</f>
        <v>2628</v>
      </c>
      <c r="AI27" s="80">
        <f>AH27/AH$10</f>
        <v>0.13619402985074627</v>
      </c>
    </row>
    <row r="28" spans="1:35" outlineLevel="1" x14ac:dyDescent="0.3">
      <c r="A28" s="137" t="s">
        <v>283</v>
      </c>
      <c r="B28" s="110" t="s">
        <v>291</v>
      </c>
      <c r="C28" s="116"/>
      <c r="D28" s="403">
        <f t="array" ref="D28:D30">'Projection Setting'!J66:J68</f>
        <v>3245</v>
      </c>
      <c r="E28" s="81">
        <f>D28/D$10</f>
        <v>0.11986701963922919</v>
      </c>
      <c r="F28" s="424">
        <f>$D28-(F51-$D51)</f>
        <v>3245</v>
      </c>
      <c r="G28" s="82">
        <f>F28/F$10</f>
        <v>0.11986554373522458</v>
      </c>
      <c r="H28" s="424">
        <f>$D28-(H51-$D51)</f>
        <v>3245</v>
      </c>
      <c r="I28" s="82">
        <f>H28/H$10</f>
        <v>0.11986554373522458</v>
      </c>
      <c r="J28" s="424">
        <f>$D28-(J51-$D51)</f>
        <v>3245</v>
      </c>
      <c r="K28" s="82">
        <f>J28/J$10</f>
        <v>0.11986554373522458</v>
      </c>
      <c r="L28" s="424">
        <f>$D28-(L51-$D51)</f>
        <v>3213</v>
      </c>
      <c r="M28" s="82">
        <f>L28/L$10</f>
        <v>0.11954459203036052</v>
      </c>
      <c r="N28" s="424">
        <f>$D28-(N51-$D51)</f>
        <v>3150</v>
      </c>
      <c r="O28" s="82">
        <f>N28/N$10</f>
        <v>0.11892177589852009</v>
      </c>
      <c r="P28" s="424">
        <f>$D28-(P51-$D51)</f>
        <v>3088</v>
      </c>
      <c r="Q28" s="82">
        <f>P28/P$10</f>
        <v>0.11831417624521073</v>
      </c>
      <c r="R28" s="408">
        <f>$D28-(R51-$D51)</f>
        <v>3182</v>
      </c>
      <c r="S28" s="83">
        <f t="shared" si="0"/>
        <v>0.11925195817561743</v>
      </c>
      <c r="T28" s="408">
        <f>$D28-(T51-$D51)</f>
        <v>3056</v>
      </c>
      <c r="U28" s="84">
        <f>T28/T$10</f>
        <v>0.1179695039567651</v>
      </c>
      <c r="V28" s="408">
        <f>$D28-(V51-$D51)</f>
        <v>2930</v>
      </c>
      <c r="W28" s="84">
        <f>V28/V$10</f>
        <v>0.11660299267749125</v>
      </c>
      <c r="X28" s="424">
        <f>$D28-(X51-$D51)</f>
        <v>3119</v>
      </c>
      <c r="Y28" s="67">
        <f t="shared" si="1"/>
        <v>0.11862021754012322</v>
      </c>
      <c r="Z28" s="424">
        <f>$D28-(Z51-$D51)</f>
        <v>2867</v>
      </c>
      <c r="AA28" s="82">
        <f>Z28/Z$10</f>
        <v>0.11588989045636444</v>
      </c>
      <c r="AB28" s="424">
        <f>$D28-(AB51-$D51)</f>
        <v>2615</v>
      </c>
      <c r="AC28" s="82">
        <f>AB28/AB$10</f>
        <v>0.11279330572808834</v>
      </c>
      <c r="AD28" s="408">
        <f>$D28-(AD51-$D51)</f>
        <v>2993</v>
      </c>
      <c r="AE28" s="83">
        <f t="shared" si="2"/>
        <v>0.11729435278441823</v>
      </c>
      <c r="AF28" s="408">
        <f>$D28-(AF51-$D51)</f>
        <v>2489</v>
      </c>
      <c r="AG28" s="84">
        <f>AF28/AF$10</f>
        <v>0.11108631616531287</v>
      </c>
      <c r="AH28" s="408">
        <f>$D28-(AH51-$D51)</f>
        <v>1985</v>
      </c>
      <c r="AI28" s="84">
        <f>AH28/AH$10</f>
        <v>0.10287106135986733</v>
      </c>
    </row>
    <row r="29" spans="1:35" outlineLevel="1" x14ac:dyDescent="0.3">
      <c r="B29" s="110" t="s">
        <v>292</v>
      </c>
      <c r="C29" s="116"/>
      <c r="D29" s="403">
        <v>494</v>
      </c>
      <c r="E29" s="81">
        <f t="shared" ref="E29:E30" si="3">D29/D$10</f>
        <v>1.8247860616881113E-2</v>
      </c>
      <c r="F29" s="424">
        <f>$D29-(F52-$D52)</f>
        <v>494</v>
      </c>
      <c r="G29" s="82">
        <f t="shared" ref="G29:G30" si="4">F29/F$10</f>
        <v>1.8247635933806145E-2</v>
      </c>
      <c r="H29" s="424">
        <f>$D29-(H52-$D52)</f>
        <v>494</v>
      </c>
      <c r="I29" s="82">
        <f t="shared" ref="I29:I30" si="5">H29/H$10</f>
        <v>1.8247635933806145E-2</v>
      </c>
      <c r="J29" s="424">
        <f>$D29-(J52-$D52)</f>
        <v>494</v>
      </c>
      <c r="K29" s="82">
        <f t="shared" ref="K29:K30" si="6">J29/J$10</f>
        <v>1.8247635933806145E-2</v>
      </c>
      <c r="L29" s="424">
        <f>$D29-(L52-$D52)</f>
        <v>492</v>
      </c>
      <c r="M29" s="82">
        <f t="shared" ref="M29:O30" si="7">L29/L$10</f>
        <v>1.8305614465900212E-2</v>
      </c>
      <c r="N29" s="424">
        <f>$D29-(N52-$D52)</f>
        <v>489</v>
      </c>
      <c r="O29" s="82">
        <f t="shared" si="7"/>
        <v>1.8461189972817881E-2</v>
      </c>
      <c r="P29" s="424">
        <f>$D29-(P52-$D52)</f>
        <v>486</v>
      </c>
      <c r="Q29" s="82">
        <f t="shared" ref="Q29:Q30" si="8">P29/P$10</f>
        <v>1.8620689655172412E-2</v>
      </c>
      <c r="R29" s="408">
        <f>$D29-(R52-$D52)</f>
        <v>491</v>
      </c>
      <c r="S29" s="83">
        <f t="shared" si="0"/>
        <v>1.8401229247086159E-2</v>
      </c>
      <c r="T29" s="408">
        <f>$D29-(T52-$D52)</f>
        <v>484</v>
      </c>
      <c r="U29" s="84">
        <f t="shared" ref="U29:U30" si="9">T29/T$10</f>
        <v>1.8683651804670912E-2</v>
      </c>
      <c r="V29" s="408">
        <f>$D29-(V52-$D52)</f>
        <v>477</v>
      </c>
      <c r="W29" s="84">
        <f t="shared" ref="W29:W30" si="10">V29/V$10</f>
        <v>1.8982808022922636E-2</v>
      </c>
      <c r="X29" s="424">
        <f>$D29-(X52-$D52)</f>
        <v>487</v>
      </c>
      <c r="Y29" s="67">
        <f t="shared" si="1"/>
        <v>1.852133566593139E-2</v>
      </c>
      <c r="Z29" s="424">
        <f>$D29-(Z52-$D52)</f>
        <v>474</v>
      </c>
      <c r="AA29" s="82">
        <f t="shared" ref="AA29:AA30" si="11">Z29/Z$10</f>
        <v>1.9160030720724364E-2</v>
      </c>
      <c r="AB29" s="424">
        <f>$D29-(AB52-$D52)</f>
        <v>460</v>
      </c>
      <c r="AC29" s="82">
        <f t="shared" ref="AC29:AC30" si="12">AB29/AB$10</f>
        <v>1.984126984126984E-2</v>
      </c>
      <c r="AD29" s="408">
        <f>$D29-(AD52-$D52)</f>
        <v>481</v>
      </c>
      <c r="AE29" s="83">
        <f t="shared" si="2"/>
        <v>1.8850178312497551E-2</v>
      </c>
      <c r="AF29" s="408">
        <f>$D29-(AF52-$D52)</f>
        <v>454</v>
      </c>
      <c r="AG29" s="84">
        <f t="shared" ref="AG29:AG30" si="13">AF29/AF$10</f>
        <v>2.0262429706328661E-2</v>
      </c>
      <c r="AH29" s="408">
        <f>$D29-(AH52-$D52)</f>
        <v>427</v>
      </c>
      <c r="AI29" s="84">
        <f t="shared" ref="AI29:AI30" si="14">AH29/AH$10</f>
        <v>2.212893864013267E-2</v>
      </c>
    </row>
    <row r="30" spans="1:35" outlineLevel="1" x14ac:dyDescent="0.3">
      <c r="B30" s="110" t="s">
        <v>293</v>
      </c>
      <c r="C30" s="116"/>
      <c r="D30" s="403">
        <v>223</v>
      </c>
      <c r="E30" s="81">
        <f t="shared" si="3"/>
        <v>8.2373945699686004E-3</v>
      </c>
      <c r="F30" s="424">
        <f>$D30-(F53-$D53)</f>
        <v>223</v>
      </c>
      <c r="G30" s="82">
        <f t="shared" si="4"/>
        <v>8.2372931442080376E-3</v>
      </c>
      <c r="H30" s="424">
        <f>$D30-(H53-$D53)</f>
        <v>223</v>
      </c>
      <c r="I30" s="82">
        <f t="shared" si="5"/>
        <v>8.2372931442080376E-3</v>
      </c>
      <c r="J30" s="424">
        <f>$D30-(J53-$D53)</f>
        <v>223</v>
      </c>
      <c r="K30" s="82">
        <f t="shared" si="6"/>
        <v>8.2372931442080376E-3</v>
      </c>
      <c r="L30" s="424">
        <f>$D30-(L53-$D53)</f>
        <v>223</v>
      </c>
      <c r="M30" s="82">
        <f t="shared" si="7"/>
        <v>8.2970569632027386E-3</v>
      </c>
      <c r="N30" s="424">
        <f>$D30-(N53-$D53)</f>
        <v>223</v>
      </c>
      <c r="O30" s="82">
        <f t="shared" si="7"/>
        <v>8.4189066747206286E-3</v>
      </c>
      <c r="P30" s="424">
        <f>$D30-(P53-$D53)</f>
        <v>222</v>
      </c>
      <c r="Q30" s="82">
        <f t="shared" si="8"/>
        <v>8.5057471264367822E-3</v>
      </c>
      <c r="R30" s="408">
        <f>$D30-(R53-$D53)</f>
        <v>223</v>
      </c>
      <c r="S30" s="83">
        <f t="shared" si="0"/>
        <v>8.3573811040737554E-3</v>
      </c>
      <c r="T30" s="408">
        <f>$D30-(T53-$D53)</f>
        <v>222</v>
      </c>
      <c r="U30" s="84">
        <f t="shared" si="9"/>
        <v>8.5697741748697164E-3</v>
      </c>
      <c r="V30" s="408">
        <f>$D30-(V53-$D53)</f>
        <v>221</v>
      </c>
      <c r="W30" s="84">
        <f t="shared" si="10"/>
        <v>8.7949697548551416E-3</v>
      </c>
      <c r="X30" s="424">
        <f>$D30-(X53-$D53)</f>
        <v>222</v>
      </c>
      <c r="Y30" s="67">
        <f t="shared" si="1"/>
        <v>8.4429907963794026E-3</v>
      </c>
      <c r="Z30" s="424">
        <f>$D30-(Z53-$D53)</f>
        <v>221</v>
      </c>
      <c r="AA30" s="82">
        <f t="shared" si="11"/>
        <v>8.9332632685233844E-3</v>
      </c>
      <c r="AB30" s="424">
        <f>$D30-(AB53-$D53)</f>
        <v>220</v>
      </c>
      <c r="AC30" s="82">
        <f t="shared" si="12"/>
        <v>9.4893029675638379E-3</v>
      </c>
      <c r="AD30" s="408">
        <f>$D30-(AD53-$D53)</f>
        <v>222</v>
      </c>
      <c r="AE30" s="83">
        <f t="shared" si="2"/>
        <v>8.7000822980757928E-3</v>
      </c>
      <c r="AF30" s="408">
        <f>$D30-(AF53-$D53)</f>
        <v>219</v>
      </c>
      <c r="AG30" s="84">
        <f t="shared" si="13"/>
        <v>9.7741676336695529E-3</v>
      </c>
      <c r="AH30" s="408">
        <f>$D30-(AH53-$D53)</f>
        <v>216</v>
      </c>
      <c r="AI30" s="84">
        <f t="shared" si="14"/>
        <v>1.1194029850746268E-2</v>
      </c>
    </row>
    <row r="31" spans="1:35" outlineLevel="1" x14ac:dyDescent="0.3">
      <c r="B31" s="109" t="s">
        <v>89</v>
      </c>
      <c r="C31" s="296"/>
      <c r="D31" s="405">
        <f>'Projection Setting'!J73</f>
        <v>2577</v>
      </c>
      <c r="E31" s="77">
        <f>D31/D$10</f>
        <v>9.5191774918426383E-2</v>
      </c>
      <c r="F31" s="422">
        <f>$D31-(F54-$D54)</f>
        <v>2577</v>
      </c>
      <c r="G31" s="85">
        <f>F31/F$10</f>
        <v>9.5190602836879426E-2</v>
      </c>
      <c r="H31" s="422">
        <f>$D31-(H54-$D54)</f>
        <v>2577</v>
      </c>
      <c r="I31" s="85">
        <f>H31/H$10</f>
        <v>9.5190602836879426E-2</v>
      </c>
      <c r="J31" s="422">
        <f>$D31-(J54-$D54)</f>
        <v>2577</v>
      </c>
      <c r="K31" s="85">
        <f>J31/J$10</f>
        <v>9.5190602836879426E-2</v>
      </c>
      <c r="L31" s="422">
        <f>$D31-(L54-$D54)</f>
        <v>2570</v>
      </c>
      <c r="M31" s="85">
        <f>L31/L$10</f>
        <v>9.5620791010901512E-2</v>
      </c>
      <c r="N31" s="422">
        <f>$D31-(N54-$D54)</f>
        <v>2556</v>
      </c>
      <c r="O31" s="85">
        <f>N31/N$10</f>
        <v>9.6496526729084875E-2</v>
      </c>
      <c r="P31" s="422">
        <f>$D31-(P54-$D54)</f>
        <v>2542</v>
      </c>
      <c r="Q31" s="85">
        <f>P31/P$10</f>
        <v>9.7394636015325664E-2</v>
      </c>
      <c r="R31" s="441">
        <f>$D31-(R54-$D54)</f>
        <v>2563</v>
      </c>
      <c r="S31" s="86">
        <f t="shared" si="0"/>
        <v>9.6053667128883552E-2</v>
      </c>
      <c r="T31" s="441">
        <f>$D31-(T54-$D54)</f>
        <v>2535</v>
      </c>
      <c r="U31" s="88">
        <f>T31/T$10</f>
        <v>9.7857556456282566E-2</v>
      </c>
      <c r="V31" s="441">
        <f>$D31-(V54-$D54)</f>
        <v>2507</v>
      </c>
      <c r="W31" s="88">
        <f>V31/V$10</f>
        <v>9.9769181789239089E-2</v>
      </c>
      <c r="X31" s="422">
        <f>$D31-(X54-$D54)</f>
        <v>2549</v>
      </c>
      <c r="Y31" s="87">
        <f t="shared" si="1"/>
        <v>9.6942268198068005E-2</v>
      </c>
      <c r="Z31" s="422">
        <f>$D31-(Z54-$D54)</f>
        <v>2493</v>
      </c>
      <c r="AA31" s="85">
        <f>Z31/Z$10</f>
        <v>0.10077206030963257</v>
      </c>
      <c r="AB31" s="422">
        <f>$D31-(AB54-$D54)</f>
        <v>2438</v>
      </c>
      <c r="AC31" s="85">
        <f>AB31/AB$10</f>
        <v>0.10515873015873016</v>
      </c>
      <c r="AD31" s="441">
        <f>$D31-(AD54-$D54)</f>
        <v>2521</v>
      </c>
      <c r="AE31" s="86">
        <f t="shared" si="2"/>
        <v>9.8796880511031859E-2</v>
      </c>
      <c r="AF31" s="441">
        <f>$D31-(AF54-$D54)</f>
        <v>2410</v>
      </c>
      <c r="AG31" s="88">
        <f>AF31/AF$10</f>
        <v>0.10756047487280193</v>
      </c>
      <c r="AH31" s="441">
        <f>$D31-(AH54-$D54)</f>
        <v>2298</v>
      </c>
      <c r="AI31" s="88">
        <f>AH31/AH$10</f>
        <v>0.11909203980099503</v>
      </c>
    </row>
    <row r="32" spans="1:35" s="112" customFormat="1" x14ac:dyDescent="0.3">
      <c r="A32" s="137" t="s">
        <v>283</v>
      </c>
      <c r="B32" s="111"/>
      <c r="C32" s="297"/>
      <c r="D32" s="401" t="s">
        <v>283</v>
      </c>
      <c r="E32" s="65" t="s">
        <v>223</v>
      </c>
      <c r="F32" s="425"/>
      <c r="G32" s="67" t="s">
        <v>223</v>
      </c>
      <c r="H32" s="464"/>
      <c r="I32" s="67" t="s">
        <v>223</v>
      </c>
      <c r="J32" s="425"/>
      <c r="K32" s="67" t="s">
        <v>223</v>
      </c>
      <c r="L32" s="425"/>
      <c r="M32" s="67" t="s">
        <v>223</v>
      </c>
      <c r="N32" s="464"/>
      <c r="O32" s="67" t="s">
        <v>223</v>
      </c>
      <c r="P32" s="425"/>
      <c r="Q32" s="67" t="s">
        <v>223</v>
      </c>
      <c r="R32" s="442"/>
      <c r="S32" s="65" t="s">
        <v>223</v>
      </c>
      <c r="T32" s="63"/>
      <c r="U32" s="63" t="s">
        <v>223</v>
      </c>
      <c r="V32" s="442"/>
      <c r="W32" s="89" t="s">
        <v>223</v>
      </c>
      <c r="X32" s="425"/>
      <c r="Y32" s="67" t="s">
        <v>223</v>
      </c>
      <c r="Z32" s="464"/>
      <c r="AA32" s="67" t="s">
        <v>223</v>
      </c>
      <c r="AB32" s="425"/>
      <c r="AC32" s="67" t="s">
        <v>223</v>
      </c>
      <c r="AD32" s="442"/>
      <c r="AE32" s="65" t="s">
        <v>223</v>
      </c>
      <c r="AF32" s="63"/>
      <c r="AG32" s="63" t="s">
        <v>223</v>
      </c>
      <c r="AH32" s="442"/>
      <c r="AI32" s="89" t="s">
        <v>223</v>
      </c>
    </row>
    <row r="33" spans="1:35" x14ac:dyDescent="0.3">
      <c r="A33" s="137" t="s">
        <v>283</v>
      </c>
      <c r="B33" s="69" t="s">
        <v>290</v>
      </c>
      <c r="C33" s="70"/>
      <c r="D33" s="406">
        <f>SUM(D35:D47)</f>
        <v>11804.500000000002</v>
      </c>
      <c r="E33" s="311">
        <f>D33/D8</f>
        <v>0.30364362055586758</v>
      </c>
      <c r="F33" s="335">
        <f>SUM(F35:F47)</f>
        <v>11804</v>
      </c>
      <c r="G33" s="312">
        <f>F33/F8</f>
        <v>0.30363206091161643</v>
      </c>
      <c r="H33" s="335">
        <f>SUM(H35:H47)</f>
        <v>11804</v>
      </c>
      <c r="I33" s="312">
        <f>H33/H8</f>
        <v>0.30363206091161643</v>
      </c>
      <c r="J33" s="335">
        <f>SUM(J35:J47)</f>
        <v>11804</v>
      </c>
      <c r="K33" s="312">
        <f>J33/J8</f>
        <v>0.30363206091161643</v>
      </c>
      <c r="L33" s="335">
        <f>SUM(L35:L47)</f>
        <v>11999</v>
      </c>
      <c r="M33" s="312">
        <f>L33/L8</f>
        <v>0.30864800905442946</v>
      </c>
      <c r="N33" s="335">
        <f>SUM(N35:N47)</f>
        <v>12388</v>
      </c>
      <c r="O33" s="312">
        <f>N33/N8</f>
        <v>0.3186541825290668</v>
      </c>
      <c r="P33" s="335">
        <f>SUM(P35:P47)</f>
        <v>12776</v>
      </c>
      <c r="Q33" s="312">
        <f>P33/P8</f>
        <v>0.3286346331927153</v>
      </c>
      <c r="R33" s="406">
        <f>SUM(R35:R47)</f>
        <v>12193</v>
      </c>
      <c r="S33" s="311">
        <f>R33/(R33+R10)</f>
        <v>0.31363823438625371</v>
      </c>
      <c r="T33" s="406">
        <f>SUM(T35:T47)</f>
        <v>12971</v>
      </c>
      <c r="U33" s="475">
        <f>T33/T8</f>
        <v>0.33365058133552833</v>
      </c>
      <c r="V33" s="406">
        <f>SUM(V35:V47)</f>
        <v>13748</v>
      </c>
      <c r="W33" s="313">
        <f>V33/V8</f>
        <v>0.35363720547381416</v>
      </c>
      <c r="X33" s="335">
        <f>SUM(X35:X47)</f>
        <v>12582</v>
      </c>
      <c r="Y33" s="312">
        <f>X33/(X33+X10)</f>
        <v>0.32364440786089105</v>
      </c>
      <c r="Z33" s="335">
        <f>SUM(Z35:Z47)</f>
        <v>14137</v>
      </c>
      <c r="AA33" s="312">
        <f>Z33/Z8</f>
        <v>0.3636433789484515</v>
      </c>
      <c r="AB33" s="335">
        <f>SUM(AB35:AB47)</f>
        <v>15692</v>
      </c>
      <c r="AC33" s="312">
        <f>AB33/AB8</f>
        <v>0.40364235003601195</v>
      </c>
      <c r="AD33" s="406">
        <f>SUM(AD35:AD47)</f>
        <v>13359</v>
      </c>
      <c r="AE33" s="311">
        <f>AD33/(AD33+AD10)</f>
        <v>0.34363103199917688</v>
      </c>
      <c r="AF33" s="406">
        <f>SUM(AF35:AF47)</f>
        <v>16470</v>
      </c>
      <c r="AG33" s="475">
        <f>AF33/AF8</f>
        <v>0.42365469698528657</v>
      </c>
      <c r="AH33" s="406">
        <f>SUM(AH35:AH47)</f>
        <v>19580</v>
      </c>
      <c r="AI33" s="313">
        <f>AH33/AH8</f>
        <v>0.50365263916040748</v>
      </c>
    </row>
    <row r="34" spans="1:35" outlineLevel="1" x14ac:dyDescent="0.3">
      <c r="B34" s="69"/>
      <c r="C34" s="70"/>
      <c r="D34" s="407"/>
      <c r="E34" s="65" t="s">
        <v>289</v>
      </c>
      <c r="F34" s="426"/>
      <c r="G34" s="67" t="s">
        <v>289</v>
      </c>
      <c r="H34" s="464"/>
      <c r="I34" s="67" t="s">
        <v>289</v>
      </c>
      <c r="J34" s="426"/>
      <c r="K34" s="67" t="s">
        <v>289</v>
      </c>
      <c r="L34" s="426"/>
      <c r="M34" s="67" t="s">
        <v>289</v>
      </c>
      <c r="N34" s="464"/>
      <c r="O34" s="67" t="s">
        <v>289</v>
      </c>
      <c r="P34" s="426"/>
      <c r="Q34" s="67" t="s">
        <v>289</v>
      </c>
      <c r="R34" s="443"/>
      <c r="S34" s="83" t="s">
        <v>289</v>
      </c>
      <c r="T34" s="84"/>
      <c r="U34" s="84" t="s">
        <v>289</v>
      </c>
      <c r="V34" s="443"/>
      <c r="W34" s="89" t="s">
        <v>289</v>
      </c>
      <c r="X34" s="426"/>
      <c r="Y34" s="67" t="s">
        <v>289</v>
      </c>
      <c r="Z34" s="464"/>
      <c r="AA34" s="67" t="s">
        <v>289</v>
      </c>
      <c r="AB34" s="426"/>
      <c r="AC34" s="67" t="s">
        <v>289</v>
      </c>
      <c r="AD34" s="443"/>
      <c r="AE34" s="83" t="s">
        <v>289</v>
      </c>
      <c r="AF34" s="84"/>
      <c r="AG34" s="84" t="s">
        <v>289</v>
      </c>
      <c r="AH34" s="443"/>
      <c r="AI34" s="89" t="s">
        <v>289</v>
      </c>
    </row>
    <row r="35" spans="1:35" outlineLevel="1" x14ac:dyDescent="0.3">
      <c r="B35" s="105" t="s">
        <v>392</v>
      </c>
      <c r="C35" s="294"/>
      <c r="D35" s="403">
        <f t="array" ref="D35:D47">'Projection Setting'!J28:J40</f>
        <v>775</v>
      </c>
      <c r="E35" s="90">
        <f>D35/D$33</f>
        <v>6.5652928967766519E-2</v>
      </c>
      <c r="F35" s="424">
        <f t="array" ref="F35:F47">'Projection Setting'!AB28:AB40</f>
        <v>786</v>
      </c>
      <c r="G35" s="91">
        <f t="array" ref="G35:G47">F35:F47/F$33</f>
        <v>6.6587597424601824E-2</v>
      </c>
      <c r="H35" s="424">
        <f t="array" ref="H35:H47">'Projection Setting'!AF28:AF40</f>
        <v>897</v>
      </c>
      <c r="I35" s="91">
        <f t="array" ref="I35:I47">H35:H47/H$33</f>
        <v>7.5991189427312769E-2</v>
      </c>
      <c r="J35" s="424">
        <f t="array" ref="J35:J47">'Projection Setting'!AJ28:AJ40</f>
        <v>1021</v>
      </c>
      <c r="K35" s="91">
        <f t="array" ref="K35:K47">J35:J47/J$33</f>
        <v>8.6496103015926806E-2</v>
      </c>
      <c r="L35" s="424">
        <f t="array" ref="L35:L47">'Projection Setting'!AL28:AL40</f>
        <v>801</v>
      </c>
      <c r="M35" s="91">
        <f t="array" ref="M35:M47">L35:L47/L$33</f>
        <v>6.6755562963580303E-2</v>
      </c>
      <c r="N35" s="424">
        <f t="array" ref="N35:N47">'Projection Setting'!AP28:AP40</f>
        <v>910</v>
      </c>
      <c r="O35" s="91">
        <f t="array" ref="O35:O47">N35:N47/N$33</f>
        <v>7.3458185340652238E-2</v>
      </c>
      <c r="P35" s="424">
        <f t="array" ref="P35:P47">'Projection Setting'!AT28:AT40</f>
        <v>1033</v>
      </c>
      <c r="Q35" s="91">
        <f t="array" ref="Q35:Q47">P35:P47/P$33</f>
        <v>8.085472761427677E-2</v>
      </c>
      <c r="R35" s="403">
        <f t="array" ref="R35:R47">'Projection Setting'!AV28:AV40</f>
        <v>816</v>
      </c>
      <c r="S35" s="83">
        <f t="shared" ref="S35:S47" si="15">$E35</f>
        <v>6.5652928967766519E-2</v>
      </c>
      <c r="T35" s="403">
        <f t="array" ref="T35:T47">'Projection Setting'!AZ28:AZ40</f>
        <v>924</v>
      </c>
      <c r="U35" s="84">
        <f t="array" ref="U35:U47">T35:T47/T$33</f>
        <v>7.1235833783054509E-2</v>
      </c>
      <c r="V35" s="403">
        <f t="array" ref="V35:V47">'Projection Setting'!BD28:BD40</f>
        <v>1045</v>
      </c>
      <c r="W35" s="93">
        <f t="shared" ref="W35:W47" si="16">$E35</f>
        <v>6.5652928967766519E-2</v>
      </c>
      <c r="X35" s="424">
        <f t="array" ref="X35:X47">'Projection Setting'!BF28:BF40</f>
        <v>846</v>
      </c>
      <c r="Y35" s="91">
        <f t="shared" ref="Y35:Y47" si="17">$E35</f>
        <v>6.5652928967766519E-2</v>
      </c>
      <c r="Z35" s="424">
        <f t="array" ref="Z35:Z47">'Projection Setting'!BJ28:BJ40</f>
        <v>952</v>
      </c>
      <c r="AA35" s="91">
        <f t="array" ref="AA35:AA47">Z35:Z47/Z$33</f>
        <v>6.7341020018391456E-2</v>
      </c>
      <c r="AB35" s="424">
        <f t="array" ref="AB35:AB47">'Projection Setting'!BN28:BN40</f>
        <v>1070</v>
      </c>
      <c r="AC35" s="91">
        <f t="shared" ref="AC35:AC47" si="18">$E35</f>
        <v>6.5652928967766519E-2</v>
      </c>
      <c r="AD35" s="403">
        <f t="array" ref="AD35:AD47">'Projection Setting'!BP28:BP40</f>
        <v>907</v>
      </c>
      <c r="AE35" s="83">
        <f t="shared" ref="AE35:AE47" si="19">$E35</f>
        <v>6.5652928967766519E-2</v>
      </c>
      <c r="AF35" s="403">
        <f t="array" ref="AF35:AF47">'Projection Setting'!BT28:BT40</f>
        <v>1007</v>
      </c>
      <c r="AG35" s="84">
        <f t="array" ref="AG35:AG47">AF35:AF47/AF$33</f>
        <v>6.1141469338190653E-2</v>
      </c>
      <c r="AH35" s="403">
        <f t="array" ref="AH35:AH47">'Projection Setting'!BX28:BX40</f>
        <v>1118</v>
      </c>
      <c r="AI35" s="93">
        <f t="shared" ref="AI35:AI47" si="20">$E35</f>
        <v>6.5652928967766519E-2</v>
      </c>
    </row>
    <row r="36" spans="1:35" outlineLevel="1" x14ac:dyDescent="0.3">
      <c r="B36" s="105" t="s">
        <v>382</v>
      </c>
      <c r="C36" s="294"/>
      <c r="D36" s="403">
        <v>843.5</v>
      </c>
      <c r="E36" s="90">
        <f t="shared" ref="E36:E47" si="21">D36/D$33</f>
        <v>7.145580075394975E-2</v>
      </c>
      <c r="F36" s="424">
        <v>737</v>
      </c>
      <c r="G36" s="91">
        <v>6.2436462216197898E-2</v>
      </c>
      <c r="H36" s="424">
        <v>806</v>
      </c>
      <c r="I36" s="91">
        <v>6.8281938325991193E-2</v>
      </c>
      <c r="J36" s="424">
        <v>916</v>
      </c>
      <c r="K36" s="91">
        <v>7.7600813283632664E-2</v>
      </c>
      <c r="L36" s="424">
        <v>752</v>
      </c>
      <c r="M36" s="91">
        <v>6.2671889324110344E-2</v>
      </c>
      <c r="N36" s="424">
        <v>835</v>
      </c>
      <c r="O36" s="91">
        <v>6.7403939296092993E-2</v>
      </c>
      <c r="P36" s="424">
        <v>942</v>
      </c>
      <c r="Q36" s="91">
        <v>7.3731997495303694E-2</v>
      </c>
      <c r="R36" s="403">
        <v>767</v>
      </c>
      <c r="S36" s="83">
        <f t="shared" si="15"/>
        <v>7.145580075394975E-2</v>
      </c>
      <c r="T36" s="403">
        <v>865</v>
      </c>
      <c r="U36" s="84">
        <v>6.6687225348855142E-2</v>
      </c>
      <c r="V36" s="403">
        <v>969</v>
      </c>
      <c r="W36" s="93">
        <f t="shared" si="16"/>
        <v>7.145580075394975E-2</v>
      </c>
      <c r="X36" s="424">
        <v>797</v>
      </c>
      <c r="Y36" s="91">
        <f t="shared" si="17"/>
        <v>7.145580075394975E-2</v>
      </c>
      <c r="Z36" s="424">
        <v>923</v>
      </c>
      <c r="AA36" s="91">
        <v>6.5289665416990869E-2</v>
      </c>
      <c r="AB36" s="424">
        <v>1022</v>
      </c>
      <c r="AC36" s="91">
        <f t="shared" si="18"/>
        <v>7.145580075394975E-2</v>
      </c>
      <c r="AD36" s="403">
        <v>858</v>
      </c>
      <c r="AE36" s="83">
        <f t="shared" si="19"/>
        <v>7.145580075394975E-2</v>
      </c>
      <c r="AF36" s="403">
        <v>1043</v>
      </c>
      <c r="AG36" s="84">
        <v>6.3327261687917427E-2</v>
      </c>
      <c r="AH36" s="403">
        <v>1126</v>
      </c>
      <c r="AI36" s="93">
        <f t="shared" si="20"/>
        <v>7.145580075394975E-2</v>
      </c>
    </row>
    <row r="37" spans="1:35" outlineLevel="1" x14ac:dyDescent="0.3">
      <c r="B37" s="105" t="s">
        <v>383</v>
      </c>
      <c r="C37" s="294"/>
      <c r="D37" s="403">
        <v>842.83333333333337</v>
      </c>
      <c r="E37" s="90">
        <f t="shared" si="21"/>
        <v>7.1399325116128023E-2</v>
      </c>
      <c r="F37" s="424">
        <v>826</v>
      </c>
      <c r="G37" s="91">
        <v>6.9976279227380547E-2</v>
      </c>
      <c r="H37" s="424">
        <v>713</v>
      </c>
      <c r="I37" s="91">
        <v>6.0403253134530668E-2</v>
      </c>
      <c r="J37" s="424">
        <v>828</v>
      </c>
      <c r="K37" s="91">
        <v>7.0145713317519481E-2</v>
      </c>
      <c r="L37" s="424">
        <v>841</v>
      </c>
      <c r="M37" s="91">
        <v>7.0089174097841489E-2</v>
      </c>
      <c r="N37" s="424">
        <v>760</v>
      </c>
      <c r="O37" s="91">
        <v>6.1349693251533742E-2</v>
      </c>
      <c r="P37" s="424">
        <v>870</v>
      </c>
      <c r="Q37" s="91">
        <v>6.8096430807764563E-2</v>
      </c>
      <c r="R37" s="403">
        <v>856</v>
      </c>
      <c r="S37" s="83">
        <f t="shared" si="15"/>
        <v>7.1399325116128023E-2</v>
      </c>
      <c r="T37" s="403">
        <v>809</v>
      </c>
      <c r="U37" s="84">
        <v>6.2369902089276077E-2</v>
      </c>
      <c r="V37" s="403">
        <v>914</v>
      </c>
      <c r="W37" s="93">
        <f t="shared" si="16"/>
        <v>7.1399325116128023E-2</v>
      </c>
      <c r="X37" s="424">
        <v>886</v>
      </c>
      <c r="Y37" s="91">
        <f t="shared" si="17"/>
        <v>7.1399325116128023E-2</v>
      </c>
      <c r="Z37" s="424">
        <v>905</v>
      </c>
      <c r="AA37" s="91">
        <v>6.4016410836811199E-2</v>
      </c>
      <c r="AB37" s="424">
        <v>1002</v>
      </c>
      <c r="AC37" s="91">
        <f t="shared" si="18"/>
        <v>7.1399325116128023E-2</v>
      </c>
      <c r="AD37" s="403">
        <v>947</v>
      </c>
      <c r="AE37" s="83">
        <f t="shared" si="19"/>
        <v>7.1399325116128023E-2</v>
      </c>
      <c r="AF37" s="403">
        <v>1099</v>
      </c>
      <c r="AG37" s="84">
        <v>6.672738312082574E-2</v>
      </c>
      <c r="AH37" s="403">
        <v>1176</v>
      </c>
      <c r="AI37" s="93">
        <f t="shared" si="20"/>
        <v>7.1399325116128023E-2</v>
      </c>
    </row>
    <row r="38" spans="1:35" outlineLevel="1" x14ac:dyDescent="0.3">
      <c r="B38" s="105" t="s">
        <v>393</v>
      </c>
      <c r="C38" s="294"/>
      <c r="D38" s="403">
        <v>842.83333333333337</v>
      </c>
      <c r="E38" s="90">
        <f t="shared" si="21"/>
        <v>7.1399325116128023E-2</v>
      </c>
      <c r="F38" s="424">
        <v>805</v>
      </c>
      <c r="G38" s="91">
        <v>6.8197221280921719E-2</v>
      </c>
      <c r="H38" s="424">
        <v>648</v>
      </c>
      <c r="I38" s="91">
        <v>5.4896645205015249E-2</v>
      </c>
      <c r="J38" s="424">
        <v>712</v>
      </c>
      <c r="K38" s="91">
        <v>6.0318536089461201E-2</v>
      </c>
      <c r="L38" s="424">
        <v>820</v>
      </c>
      <c r="M38" s="91">
        <v>6.833902825235437E-2</v>
      </c>
      <c r="N38" s="424">
        <v>697</v>
      </c>
      <c r="O38" s="91">
        <v>5.626412657410397E-2</v>
      </c>
      <c r="P38" s="424">
        <v>774</v>
      </c>
      <c r="Q38" s="91">
        <v>6.0582341891045707E-2</v>
      </c>
      <c r="R38" s="403">
        <v>834</v>
      </c>
      <c r="S38" s="83">
        <f t="shared" si="15"/>
        <v>7.1399325116128023E-2</v>
      </c>
      <c r="T38" s="403">
        <v>743</v>
      </c>
      <c r="U38" s="84">
        <v>5.7281628247629328E-2</v>
      </c>
      <c r="V38" s="403">
        <v>837</v>
      </c>
      <c r="W38" s="93">
        <f t="shared" si="16"/>
        <v>7.1399325116128023E-2</v>
      </c>
      <c r="X38" s="424">
        <v>864</v>
      </c>
      <c r="Y38" s="91">
        <f t="shared" si="17"/>
        <v>7.1399325116128023E-2</v>
      </c>
      <c r="Z38" s="424">
        <v>838</v>
      </c>
      <c r="AA38" s="91">
        <v>5.9277074343920211E-2</v>
      </c>
      <c r="AB38" s="424">
        <v>960</v>
      </c>
      <c r="AC38" s="91">
        <f t="shared" si="18"/>
        <v>7.1399325116128023E-2</v>
      </c>
      <c r="AD38" s="403">
        <v>925</v>
      </c>
      <c r="AE38" s="83">
        <f t="shared" si="19"/>
        <v>7.1399325116128023E-2</v>
      </c>
      <c r="AF38" s="403">
        <v>1030</v>
      </c>
      <c r="AG38" s="84">
        <v>6.2537947783849426E-2</v>
      </c>
      <c r="AH38" s="403">
        <v>1211</v>
      </c>
      <c r="AI38" s="93">
        <f t="shared" si="20"/>
        <v>7.1399325116128023E-2</v>
      </c>
    </row>
    <row r="39" spans="1:35" outlineLevel="1" x14ac:dyDescent="0.3">
      <c r="B39" s="105" t="s">
        <v>384</v>
      </c>
      <c r="C39" s="294"/>
      <c r="D39" s="403">
        <v>801.66666666666663</v>
      </c>
      <c r="E39" s="90">
        <f t="shared" si="21"/>
        <v>6.7911954480635903E-2</v>
      </c>
      <c r="F39" s="424">
        <v>811</v>
      </c>
      <c r="G39" s="91">
        <v>6.8705523551338535E-2</v>
      </c>
      <c r="H39" s="424">
        <v>739</v>
      </c>
      <c r="I39" s="91">
        <v>6.2605896306336839E-2</v>
      </c>
      <c r="J39" s="424">
        <v>584</v>
      </c>
      <c r="K39" s="91">
        <v>4.9474754320569296E-2</v>
      </c>
      <c r="L39" s="424">
        <v>826</v>
      </c>
      <c r="M39" s="91">
        <v>6.8839069922493543E-2</v>
      </c>
      <c r="N39" s="424">
        <v>788</v>
      </c>
      <c r="O39" s="91">
        <v>6.3609945108169197E-2</v>
      </c>
      <c r="P39" s="424">
        <v>666</v>
      </c>
      <c r="Q39" s="91">
        <v>5.212899185973701E-2</v>
      </c>
      <c r="R39" s="403">
        <v>841</v>
      </c>
      <c r="S39" s="83">
        <f t="shared" si="15"/>
        <v>6.7911954480635903E-2</v>
      </c>
      <c r="T39" s="403">
        <v>835</v>
      </c>
      <c r="U39" s="84">
        <v>6.4374373602652066E-2</v>
      </c>
      <c r="V39" s="403">
        <v>752</v>
      </c>
      <c r="W39" s="93">
        <f t="shared" si="16"/>
        <v>6.7911954480635903E-2</v>
      </c>
      <c r="X39" s="424">
        <v>870</v>
      </c>
      <c r="Y39" s="91">
        <f t="shared" si="17"/>
        <v>6.7911954480635903E-2</v>
      </c>
      <c r="Z39" s="424">
        <v>929</v>
      </c>
      <c r="AA39" s="91">
        <v>6.5714083610384097E-2</v>
      </c>
      <c r="AB39" s="424">
        <v>920</v>
      </c>
      <c r="AC39" s="91">
        <f t="shared" si="18"/>
        <v>6.7911954480635903E-2</v>
      </c>
      <c r="AD39" s="403">
        <v>931</v>
      </c>
      <c r="AE39" s="83">
        <f t="shared" si="19"/>
        <v>6.7911954480635903E-2</v>
      </c>
      <c r="AF39" s="403">
        <v>1120</v>
      </c>
      <c r="AG39" s="84">
        <v>6.8002428658166358E-2</v>
      </c>
      <c r="AH39" s="403">
        <v>1257</v>
      </c>
      <c r="AI39" s="93">
        <f t="shared" si="20"/>
        <v>6.7911954480635903E-2</v>
      </c>
    </row>
    <row r="40" spans="1:35" outlineLevel="1" x14ac:dyDescent="0.3">
      <c r="B40" s="105" t="s">
        <v>385</v>
      </c>
      <c r="C40" s="294"/>
      <c r="D40" s="403">
        <v>896.66666666666663</v>
      </c>
      <c r="E40" s="90">
        <f t="shared" si="21"/>
        <v>7.5959732870233082E-2</v>
      </c>
      <c r="F40" s="424">
        <v>888</v>
      </c>
      <c r="G40" s="91">
        <v>7.5228736021687559E-2</v>
      </c>
      <c r="H40" s="424">
        <v>838</v>
      </c>
      <c r="I40" s="91">
        <v>7.0992883768214166E-2</v>
      </c>
      <c r="J40" s="424">
        <v>598</v>
      </c>
      <c r="K40" s="91">
        <v>5.0660792951541848E-2</v>
      </c>
      <c r="L40" s="424">
        <v>903</v>
      </c>
      <c r="M40" s="91">
        <v>7.5256271355946328E-2</v>
      </c>
      <c r="N40" s="424">
        <v>890</v>
      </c>
      <c r="O40" s="91">
        <v>7.1843719728769781E-2</v>
      </c>
      <c r="P40" s="424">
        <v>694</v>
      </c>
      <c r="Q40" s="91">
        <v>5.4320601127113337E-2</v>
      </c>
      <c r="R40" s="403">
        <v>918</v>
      </c>
      <c r="S40" s="83">
        <f t="shared" si="15"/>
        <v>7.5959732870233082E-2</v>
      </c>
      <c r="T40" s="403">
        <v>942</v>
      </c>
      <c r="U40" s="84">
        <v>7.2623544830776349E-2</v>
      </c>
      <c r="V40" s="403">
        <v>787</v>
      </c>
      <c r="W40" s="93">
        <f t="shared" si="16"/>
        <v>7.5959732870233082E-2</v>
      </c>
      <c r="X40" s="424">
        <v>948</v>
      </c>
      <c r="Y40" s="91">
        <f t="shared" si="17"/>
        <v>7.5959732870233082E-2</v>
      </c>
      <c r="Z40" s="424">
        <v>1045</v>
      </c>
      <c r="AA40" s="91">
        <v>7.3919502015986419E-2</v>
      </c>
      <c r="AB40" s="424">
        <v>973</v>
      </c>
      <c r="AC40" s="91">
        <f t="shared" si="18"/>
        <v>7.5959732870233082E-2</v>
      </c>
      <c r="AD40" s="403">
        <v>1007</v>
      </c>
      <c r="AE40" s="83">
        <f t="shared" si="19"/>
        <v>7.5959732870233082E-2</v>
      </c>
      <c r="AF40" s="403">
        <v>1256</v>
      </c>
      <c r="AG40" s="84">
        <v>7.6259866423800851E-2</v>
      </c>
      <c r="AH40" s="403">
        <v>1349</v>
      </c>
      <c r="AI40" s="93">
        <f t="shared" si="20"/>
        <v>7.5959732870233082E-2</v>
      </c>
    </row>
    <row r="41" spans="1:35" outlineLevel="1" x14ac:dyDescent="0.3">
      <c r="B41" s="105" t="s">
        <v>394</v>
      </c>
      <c r="C41" s="294"/>
      <c r="D41" s="403">
        <v>1052.5</v>
      </c>
      <c r="E41" s="90">
        <f t="shared" si="21"/>
        <v>8.9160913211063564E-2</v>
      </c>
      <c r="F41" s="424">
        <v>1011</v>
      </c>
      <c r="G41" s="91">
        <v>8.5648932565232122E-2</v>
      </c>
      <c r="H41" s="424">
        <v>1004</v>
      </c>
      <c r="I41" s="91">
        <v>8.5055913249745846E-2</v>
      </c>
      <c r="J41" s="424">
        <v>868</v>
      </c>
      <c r="K41" s="91">
        <v>7.3534395120298204E-2</v>
      </c>
      <c r="L41" s="424">
        <v>1026</v>
      </c>
      <c r="M41" s="91">
        <v>8.5507125593799485E-2</v>
      </c>
      <c r="N41" s="424">
        <v>1061</v>
      </c>
      <c r="O41" s="91">
        <v>8.5647400710364863E-2</v>
      </c>
      <c r="P41" s="424">
        <v>973</v>
      </c>
      <c r="Q41" s="91">
        <v>7.6158422041327486E-2</v>
      </c>
      <c r="R41" s="403">
        <v>1041</v>
      </c>
      <c r="S41" s="83">
        <f t="shared" si="15"/>
        <v>8.9160913211063564E-2</v>
      </c>
      <c r="T41" s="403">
        <v>1116</v>
      </c>
      <c r="U41" s="84">
        <v>8.6038084958754146E-2</v>
      </c>
      <c r="V41" s="403">
        <v>1075</v>
      </c>
      <c r="W41" s="93">
        <f t="shared" si="16"/>
        <v>8.9160913211063564E-2</v>
      </c>
      <c r="X41" s="424">
        <v>1071</v>
      </c>
      <c r="Y41" s="91">
        <f t="shared" si="17"/>
        <v>8.9160913211063564E-2</v>
      </c>
      <c r="Z41" s="424">
        <v>1225</v>
      </c>
      <c r="AA41" s="91">
        <v>8.6652047817783129E-2</v>
      </c>
      <c r="AB41" s="424">
        <v>1280</v>
      </c>
      <c r="AC41" s="91">
        <f t="shared" si="18"/>
        <v>8.9160913211063564E-2</v>
      </c>
      <c r="AD41" s="403">
        <v>1130</v>
      </c>
      <c r="AE41" s="83">
        <f t="shared" si="19"/>
        <v>8.9160913211063564E-2</v>
      </c>
      <c r="AF41" s="403">
        <v>1446</v>
      </c>
      <c r="AG41" s="84">
        <v>8.7795992714025495E-2</v>
      </c>
      <c r="AH41" s="403">
        <v>1692</v>
      </c>
      <c r="AI41" s="93">
        <f t="shared" si="20"/>
        <v>8.9160913211063564E-2</v>
      </c>
    </row>
    <row r="42" spans="1:35" outlineLevel="1" x14ac:dyDescent="0.3">
      <c r="B42" s="105" t="s">
        <v>386</v>
      </c>
      <c r="C42" s="294"/>
      <c r="D42" s="403">
        <v>1057.1666666666667</v>
      </c>
      <c r="E42" s="90">
        <f t="shared" si="21"/>
        <v>8.9556242675815717E-2</v>
      </c>
      <c r="F42" s="424">
        <v>1160</v>
      </c>
      <c r="G42" s="91">
        <v>9.8271772280582856E-2</v>
      </c>
      <c r="H42" s="424">
        <v>1088</v>
      </c>
      <c r="I42" s="91">
        <v>9.217214503558116E-2</v>
      </c>
      <c r="J42" s="424">
        <v>990</v>
      </c>
      <c r="K42" s="91">
        <v>8.3869874618773294E-2</v>
      </c>
      <c r="L42" s="424">
        <v>1175</v>
      </c>
      <c r="M42" s="91">
        <v>9.7924827068922415E-2</v>
      </c>
      <c r="N42" s="424">
        <v>1142</v>
      </c>
      <c r="O42" s="91">
        <v>9.2185986438488854E-2</v>
      </c>
      <c r="P42" s="424">
        <v>1096</v>
      </c>
      <c r="Q42" s="91">
        <v>8.5785848465873518E-2</v>
      </c>
      <c r="R42" s="403">
        <v>1190</v>
      </c>
      <c r="S42" s="83">
        <f t="shared" si="15"/>
        <v>8.9556242675815717E-2</v>
      </c>
      <c r="T42" s="403">
        <v>1196</v>
      </c>
      <c r="U42" s="84">
        <v>9.2205689615295655E-2</v>
      </c>
      <c r="V42" s="403">
        <v>1202</v>
      </c>
      <c r="W42" s="93">
        <f t="shared" si="16"/>
        <v>8.9556242675815717E-2</v>
      </c>
      <c r="X42" s="424">
        <v>1220</v>
      </c>
      <c r="Y42" s="91">
        <f t="shared" si="17"/>
        <v>8.9556242675815717E-2</v>
      </c>
      <c r="Z42" s="424">
        <v>1304</v>
      </c>
      <c r="AA42" s="91">
        <v>9.2240220697460559E-2</v>
      </c>
      <c r="AB42" s="424">
        <v>1414</v>
      </c>
      <c r="AC42" s="91">
        <f t="shared" si="18"/>
        <v>8.9556242675815717E-2</v>
      </c>
      <c r="AD42" s="403">
        <v>1279</v>
      </c>
      <c r="AE42" s="83">
        <f t="shared" si="19"/>
        <v>8.9556242675815717E-2</v>
      </c>
      <c r="AF42" s="403">
        <v>1517</v>
      </c>
      <c r="AG42" s="84">
        <v>9.2106860959319969E-2</v>
      </c>
      <c r="AH42" s="403">
        <v>1846</v>
      </c>
      <c r="AI42" s="93">
        <f t="shared" si="20"/>
        <v>8.9556242675815717E-2</v>
      </c>
    </row>
    <row r="43" spans="1:35" outlineLevel="1" x14ac:dyDescent="0.3">
      <c r="B43" s="105" t="s">
        <v>387</v>
      </c>
      <c r="C43" s="294"/>
      <c r="D43" s="403">
        <v>1039</v>
      </c>
      <c r="E43" s="90">
        <f t="shared" si="21"/>
        <v>8.8017281545173437E-2</v>
      </c>
      <c r="F43" s="424">
        <v>1027</v>
      </c>
      <c r="G43" s="91">
        <v>8.7004405286343608E-2</v>
      </c>
      <c r="H43" s="424">
        <v>1075</v>
      </c>
      <c r="I43" s="91">
        <v>9.1070823449678082E-2</v>
      </c>
      <c r="J43" s="424">
        <v>1046</v>
      </c>
      <c r="K43" s="91">
        <v>8.8614029142663503E-2</v>
      </c>
      <c r="L43" s="424">
        <v>1042</v>
      </c>
      <c r="M43" s="91">
        <v>8.6840570047503965E-2</v>
      </c>
      <c r="N43" s="424">
        <v>1124</v>
      </c>
      <c r="O43" s="91">
        <v>9.0732967387794641E-2</v>
      </c>
      <c r="P43" s="424">
        <v>1146</v>
      </c>
      <c r="Q43" s="91">
        <v>8.969943644333124E-2</v>
      </c>
      <c r="R43" s="403">
        <v>1057</v>
      </c>
      <c r="S43" s="83">
        <f t="shared" si="15"/>
        <v>8.8017281545173437E-2</v>
      </c>
      <c r="T43" s="403">
        <v>1172</v>
      </c>
      <c r="U43" s="84">
        <v>9.0355408218333211E-2</v>
      </c>
      <c r="V43" s="403">
        <v>1245</v>
      </c>
      <c r="W43" s="93">
        <f t="shared" si="16"/>
        <v>8.8017281545173437E-2</v>
      </c>
      <c r="X43" s="424">
        <v>1087</v>
      </c>
      <c r="Y43" s="91">
        <f t="shared" si="17"/>
        <v>8.8017281545173437E-2</v>
      </c>
      <c r="Z43" s="424">
        <v>1271</v>
      </c>
      <c r="AA43" s="91">
        <v>8.9905920633797834E-2</v>
      </c>
      <c r="AB43" s="424">
        <v>1439</v>
      </c>
      <c r="AC43" s="91">
        <f t="shared" si="18"/>
        <v>8.8017281545173437E-2</v>
      </c>
      <c r="AD43" s="403">
        <v>1146</v>
      </c>
      <c r="AE43" s="83">
        <f t="shared" si="19"/>
        <v>8.8017281545173437E-2</v>
      </c>
      <c r="AF43" s="403">
        <v>1464</v>
      </c>
      <c r="AG43" s="84">
        <v>8.8888888888888892E-2</v>
      </c>
      <c r="AH43" s="403">
        <v>1833</v>
      </c>
      <c r="AI43" s="93">
        <f t="shared" si="20"/>
        <v>8.8017281545173437E-2</v>
      </c>
    </row>
    <row r="44" spans="1:35" outlineLevel="1" x14ac:dyDescent="0.3">
      <c r="B44" s="105" t="s">
        <v>388</v>
      </c>
      <c r="C44" s="294"/>
      <c r="D44" s="403">
        <v>958.83333333333337</v>
      </c>
      <c r="E44" s="90">
        <f t="shared" si="21"/>
        <v>8.1226086097109851E-2</v>
      </c>
      <c r="F44" s="424">
        <v>1218</v>
      </c>
      <c r="G44" s="91">
        <v>0.103185360894612</v>
      </c>
      <c r="H44" s="424">
        <v>1336</v>
      </c>
      <c r="I44" s="91">
        <v>0.11318197221280922</v>
      </c>
      <c r="J44" s="424">
        <v>1212</v>
      </c>
      <c r="K44" s="91">
        <v>0.10267705862419518</v>
      </c>
      <c r="L44" s="424">
        <v>1233</v>
      </c>
      <c r="M44" s="91">
        <v>0.10275856321360113</v>
      </c>
      <c r="N44" s="424">
        <v>1388</v>
      </c>
      <c r="O44" s="91">
        <v>0.11204391346464321</v>
      </c>
      <c r="P44" s="424">
        <v>1315</v>
      </c>
      <c r="Q44" s="91">
        <v>0.10292736380713838</v>
      </c>
      <c r="R44" s="403">
        <v>1248</v>
      </c>
      <c r="S44" s="83">
        <f t="shared" si="15"/>
        <v>8.1226086097109851E-2</v>
      </c>
      <c r="T44" s="403">
        <v>1442</v>
      </c>
      <c r="U44" s="84">
        <v>0.11117107393416081</v>
      </c>
      <c r="V44" s="403">
        <v>1418</v>
      </c>
      <c r="W44" s="93">
        <f t="shared" si="16"/>
        <v>8.1226086097109851E-2</v>
      </c>
      <c r="X44" s="424">
        <v>1278</v>
      </c>
      <c r="Y44" s="91">
        <f t="shared" si="17"/>
        <v>8.1226086097109851E-2</v>
      </c>
      <c r="Z44" s="424">
        <v>1547</v>
      </c>
      <c r="AA44" s="91">
        <v>0.10942915752988612</v>
      </c>
      <c r="AB44" s="424">
        <v>1625</v>
      </c>
      <c r="AC44" s="91">
        <f t="shared" si="18"/>
        <v>8.1226086097109851E-2</v>
      </c>
      <c r="AD44" s="403">
        <v>1337</v>
      </c>
      <c r="AE44" s="83">
        <f t="shared" si="19"/>
        <v>8.1226086097109851E-2</v>
      </c>
      <c r="AF44" s="403">
        <v>1757</v>
      </c>
      <c r="AG44" s="84">
        <v>0.10667880995749848</v>
      </c>
      <c r="AH44" s="403">
        <v>2036</v>
      </c>
      <c r="AI44" s="93">
        <f t="shared" si="20"/>
        <v>8.1226086097109851E-2</v>
      </c>
    </row>
    <row r="45" spans="1:35" outlineLevel="1" x14ac:dyDescent="0.3">
      <c r="B45" s="105" t="s">
        <v>389</v>
      </c>
      <c r="C45" s="294"/>
      <c r="D45" s="403">
        <v>972.16666666666663</v>
      </c>
      <c r="E45" s="90">
        <f t="shared" si="21"/>
        <v>8.2355598853544543E-2</v>
      </c>
      <c r="F45" s="424">
        <v>829</v>
      </c>
      <c r="G45" s="91">
        <v>7.0230430362588955E-2</v>
      </c>
      <c r="H45" s="424">
        <v>1060</v>
      </c>
      <c r="I45" s="91">
        <v>8.9800067773636055E-2</v>
      </c>
      <c r="J45" s="424">
        <v>1103</v>
      </c>
      <c r="K45" s="91">
        <v>9.3442900711623172E-2</v>
      </c>
      <c r="L45" s="424">
        <v>844</v>
      </c>
      <c r="M45" s="91">
        <v>7.0339194932911075E-2</v>
      </c>
      <c r="N45" s="424">
        <v>1106</v>
      </c>
      <c r="O45" s="91">
        <v>8.9279948337100415E-2</v>
      </c>
      <c r="P45" s="424">
        <v>1189</v>
      </c>
      <c r="Q45" s="91">
        <v>9.3065122103944894E-2</v>
      </c>
      <c r="R45" s="403">
        <v>859</v>
      </c>
      <c r="S45" s="83">
        <f t="shared" si="15"/>
        <v>8.2355598853544543E-2</v>
      </c>
      <c r="T45" s="403">
        <v>1153</v>
      </c>
      <c r="U45" s="84">
        <v>8.8890602112404599E-2</v>
      </c>
      <c r="V45" s="403">
        <v>1274</v>
      </c>
      <c r="W45" s="93">
        <f t="shared" si="16"/>
        <v>8.2355598853544543E-2</v>
      </c>
      <c r="X45" s="424">
        <v>889</v>
      </c>
      <c r="Y45" s="91">
        <f t="shared" si="17"/>
        <v>8.2355598853544543E-2</v>
      </c>
      <c r="Z45" s="424">
        <v>1246</v>
      </c>
      <c r="AA45" s="91">
        <v>8.8137511494659398E-2</v>
      </c>
      <c r="AB45" s="424">
        <v>1449</v>
      </c>
      <c r="AC45" s="91">
        <f t="shared" si="18"/>
        <v>8.2355598853544543E-2</v>
      </c>
      <c r="AD45" s="403">
        <v>948</v>
      </c>
      <c r="AE45" s="83">
        <f t="shared" si="19"/>
        <v>8.2355598853544543E-2</v>
      </c>
      <c r="AF45" s="403">
        <v>1432</v>
      </c>
      <c r="AG45" s="84">
        <v>8.694596235579842E-2</v>
      </c>
      <c r="AH45" s="403">
        <v>1792</v>
      </c>
      <c r="AI45" s="93">
        <f t="shared" si="20"/>
        <v>8.2355598853544543E-2</v>
      </c>
    </row>
    <row r="46" spans="1:35" outlineLevel="1" x14ac:dyDescent="0.3">
      <c r="B46" s="105" t="s">
        <v>390</v>
      </c>
      <c r="C46" s="294"/>
      <c r="D46" s="403">
        <v>895.5</v>
      </c>
      <c r="E46" s="90">
        <f t="shared" si="21"/>
        <v>7.5860900504045051E-2</v>
      </c>
      <c r="F46" s="424">
        <v>853</v>
      </c>
      <c r="G46" s="91">
        <v>7.2263639444256178E-2</v>
      </c>
      <c r="H46" s="424">
        <v>956</v>
      </c>
      <c r="I46" s="91">
        <v>8.0989495086411387E-2</v>
      </c>
      <c r="J46" s="424">
        <v>1053</v>
      </c>
      <c r="K46" s="91">
        <v>8.9207048458149779E-2</v>
      </c>
      <c r="L46" s="424">
        <v>868</v>
      </c>
      <c r="M46" s="91">
        <v>7.2339361613467795E-2</v>
      </c>
      <c r="N46" s="424">
        <v>998</v>
      </c>
      <c r="O46" s="91">
        <v>8.0561834032935098E-2</v>
      </c>
      <c r="P46" s="424">
        <v>1129</v>
      </c>
      <c r="Q46" s="91">
        <v>8.8368816530995611E-2</v>
      </c>
      <c r="R46" s="403">
        <v>883</v>
      </c>
      <c r="S46" s="83">
        <f t="shared" si="15"/>
        <v>7.5860900504045051E-2</v>
      </c>
      <c r="T46" s="403">
        <v>1040</v>
      </c>
      <c r="U46" s="84">
        <v>8.0178860535039698E-2</v>
      </c>
      <c r="V46" s="403">
        <v>1207</v>
      </c>
      <c r="W46" s="93">
        <f t="shared" si="16"/>
        <v>7.5860900504045051E-2</v>
      </c>
      <c r="X46" s="424">
        <v>913</v>
      </c>
      <c r="Y46" s="91">
        <f t="shared" si="17"/>
        <v>7.5860900504045051E-2</v>
      </c>
      <c r="Z46" s="424">
        <v>1126</v>
      </c>
      <c r="AA46" s="91">
        <v>7.9649147626794939E-2</v>
      </c>
      <c r="AB46" s="424">
        <v>1360</v>
      </c>
      <c r="AC46" s="91">
        <f t="shared" si="18"/>
        <v>7.5860900504045051E-2</v>
      </c>
      <c r="AD46" s="403">
        <v>972</v>
      </c>
      <c r="AE46" s="83">
        <f t="shared" si="19"/>
        <v>7.5860900504045051E-2</v>
      </c>
      <c r="AF46" s="403">
        <v>1294</v>
      </c>
      <c r="AG46" s="84">
        <v>7.856709168184578E-2</v>
      </c>
      <c r="AH46" s="403">
        <v>1664</v>
      </c>
      <c r="AI46" s="93">
        <f t="shared" si="20"/>
        <v>7.5860900504045051E-2</v>
      </c>
    </row>
    <row r="47" spans="1:35" outlineLevel="1" x14ac:dyDescent="0.3">
      <c r="B47" s="105" t="s">
        <v>391</v>
      </c>
      <c r="C47" s="294"/>
      <c r="D47" s="403">
        <v>826.83333333333337</v>
      </c>
      <c r="E47" s="90">
        <f t="shared" si="21"/>
        <v>7.0043909808406385E-2</v>
      </c>
      <c r="F47" s="424">
        <v>853</v>
      </c>
      <c r="G47" s="91">
        <v>7.2263639444256178E-2</v>
      </c>
      <c r="H47" s="424">
        <v>644</v>
      </c>
      <c r="I47" s="91">
        <v>5.4557777024737381E-2</v>
      </c>
      <c r="J47" s="424">
        <v>873</v>
      </c>
      <c r="K47" s="91">
        <v>7.3957980345645546E-2</v>
      </c>
      <c r="L47" s="424">
        <v>868</v>
      </c>
      <c r="M47" s="91">
        <v>7.2339361613467795E-2</v>
      </c>
      <c r="N47" s="424">
        <v>689</v>
      </c>
      <c r="O47" s="91">
        <v>5.5618340329350986E-2</v>
      </c>
      <c r="P47" s="424">
        <v>949</v>
      </c>
      <c r="Q47" s="91">
        <v>7.4279899812147776E-2</v>
      </c>
      <c r="R47" s="403">
        <v>883</v>
      </c>
      <c r="S47" s="83">
        <f t="shared" si="15"/>
        <v>7.0043909808406385E-2</v>
      </c>
      <c r="T47" s="403">
        <v>734</v>
      </c>
      <c r="U47" s="84">
        <v>5.6587772723768408E-2</v>
      </c>
      <c r="V47" s="403">
        <v>1023</v>
      </c>
      <c r="W47" s="93">
        <f t="shared" si="16"/>
        <v>7.0043909808406385E-2</v>
      </c>
      <c r="X47" s="424">
        <v>913</v>
      </c>
      <c r="Y47" s="91">
        <f t="shared" si="17"/>
        <v>7.0043909808406385E-2</v>
      </c>
      <c r="Z47" s="424">
        <v>826</v>
      </c>
      <c r="AA47" s="91">
        <v>5.8428237957133762E-2</v>
      </c>
      <c r="AB47" s="424">
        <v>1178</v>
      </c>
      <c r="AC47" s="91">
        <f t="shared" si="18"/>
        <v>7.0043909808406385E-2</v>
      </c>
      <c r="AD47" s="403">
        <v>972</v>
      </c>
      <c r="AE47" s="83">
        <f t="shared" si="19"/>
        <v>7.0043909808406385E-2</v>
      </c>
      <c r="AF47" s="403">
        <v>1005</v>
      </c>
      <c r="AG47" s="84">
        <v>6.1020036429872498E-2</v>
      </c>
      <c r="AH47" s="403">
        <v>1480</v>
      </c>
      <c r="AI47" s="93">
        <f t="shared" si="20"/>
        <v>7.0043909808406385E-2</v>
      </c>
    </row>
    <row r="48" spans="1:35" outlineLevel="1" x14ac:dyDescent="0.3">
      <c r="B48" s="107" t="s">
        <v>301</v>
      </c>
      <c r="C48" s="295"/>
      <c r="D48" s="408"/>
      <c r="E48" s="94" t="s">
        <v>289</v>
      </c>
      <c r="F48" s="427"/>
      <c r="G48" s="95" t="s">
        <v>289</v>
      </c>
      <c r="H48" s="465"/>
      <c r="I48" s="95" t="s">
        <v>289</v>
      </c>
      <c r="J48" s="427"/>
      <c r="K48" s="95" t="s">
        <v>289</v>
      </c>
      <c r="L48" s="427"/>
      <c r="M48" s="95" t="s">
        <v>289</v>
      </c>
      <c r="N48" s="465"/>
      <c r="O48" s="95" t="s">
        <v>289</v>
      </c>
      <c r="P48" s="427"/>
      <c r="Q48" s="95" t="s">
        <v>289</v>
      </c>
      <c r="R48" s="444"/>
      <c r="S48" s="81" t="s">
        <v>289</v>
      </c>
      <c r="T48" s="476"/>
      <c r="U48" s="476" t="s">
        <v>289</v>
      </c>
      <c r="V48" s="444"/>
      <c r="W48" s="96" t="s">
        <v>289</v>
      </c>
      <c r="X48" s="427"/>
      <c r="Y48" s="95" t="s">
        <v>289</v>
      </c>
      <c r="Z48" s="465"/>
      <c r="AA48" s="95" t="s">
        <v>289</v>
      </c>
      <c r="AB48" s="427"/>
      <c r="AC48" s="95" t="s">
        <v>289</v>
      </c>
      <c r="AD48" s="444"/>
      <c r="AE48" s="81" t="s">
        <v>289</v>
      </c>
      <c r="AF48" s="476"/>
      <c r="AG48" s="476" t="s">
        <v>289</v>
      </c>
      <c r="AH48" s="444"/>
      <c r="AI48" s="96" t="s">
        <v>289</v>
      </c>
    </row>
    <row r="49" spans="1:35" outlineLevel="1" x14ac:dyDescent="0.3">
      <c r="B49" s="109" t="s">
        <v>431</v>
      </c>
      <c r="C49" s="296"/>
      <c r="D49" s="409">
        <f>'Projection Setting'!AB55</f>
        <v>5000</v>
      </c>
      <c r="E49" s="77">
        <f t="shared" ref="E49:E54" si="22">D49/D$33</f>
        <v>0.42356728366300983</v>
      </c>
      <c r="F49" s="423">
        <f>ROUND(G49*F$33,0)</f>
        <v>5000</v>
      </c>
      <c r="G49" s="79">
        <f t="shared" ref="G49:I54" si="23">$E49</f>
        <v>0.42356728366300983</v>
      </c>
      <c r="H49" s="423">
        <f>ROUND(I49*H$33,0)</f>
        <v>5000</v>
      </c>
      <c r="I49" s="79">
        <f t="shared" si="23"/>
        <v>0.42356728366300983</v>
      </c>
      <c r="J49" s="423">
        <f>ROUND(K49*J$33,0)</f>
        <v>5000</v>
      </c>
      <c r="K49" s="79">
        <f t="shared" ref="K49:K54" si="24">$E49</f>
        <v>0.42356728366300983</v>
      </c>
      <c r="L49" s="423">
        <f>ROUND(M49*L$33,0)</f>
        <v>5082</v>
      </c>
      <c r="M49" s="79">
        <f t="shared" ref="M49:O54" si="25">$E49</f>
        <v>0.42356728366300983</v>
      </c>
      <c r="N49" s="423">
        <f>ROUND(O49*N$33,0)</f>
        <v>5247</v>
      </c>
      <c r="O49" s="79">
        <f t="shared" si="25"/>
        <v>0.42356728366300983</v>
      </c>
      <c r="P49" s="423">
        <f>ROUND(Q49*P$33,0)</f>
        <v>5411</v>
      </c>
      <c r="Q49" s="79">
        <f t="shared" ref="Q49:Q54" si="26">$E49</f>
        <v>0.42356728366300983</v>
      </c>
      <c r="R49" s="409">
        <f>ROUND(S49*R$33,0)</f>
        <v>5165</v>
      </c>
      <c r="S49" s="77">
        <f t="shared" ref="S49:S54" si="27">$E49</f>
        <v>0.42356728366300983</v>
      </c>
      <c r="T49" s="409">
        <f>ROUND(U49*T$33,0)</f>
        <v>5494</v>
      </c>
      <c r="U49" s="77">
        <f t="shared" ref="U49:U54" si="28">$E49</f>
        <v>0.42356728366300983</v>
      </c>
      <c r="V49" s="409">
        <f>ROUND(W49*V$33,0)</f>
        <v>5823</v>
      </c>
      <c r="W49" s="71">
        <f t="shared" ref="W49:W54" si="29">$E49</f>
        <v>0.42356728366300983</v>
      </c>
      <c r="X49" s="423">
        <f>ROUND(Y49*X$33,0)</f>
        <v>5329</v>
      </c>
      <c r="Y49" s="79">
        <f t="shared" ref="Y49:Y54" si="30">$E49</f>
        <v>0.42356728366300983</v>
      </c>
      <c r="Z49" s="423">
        <f>ROUND(AA49*Z$33,0)</f>
        <v>5988</v>
      </c>
      <c r="AA49" s="79">
        <f t="shared" ref="AA49:AA54" si="31">$E49</f>
        <v>0.42356728366300983</v>
      </c>
      <c r="AB49" s="423">
        <f>ROUND(AC49*AB$33,0)</f>
        <v>6647</v>
      </c>
      <c r="AC49" s="79">
        <f t="shared" ref="AC49:AC54" si="32">$E49</f>
        <v>0.42356728366300983</v>
      </c>
      <c r="AD49" s="409">
        <f>ROUND(AE49*AD$33,0)</f>
        <v>5658</v>
      </c>
      <c r="AE49" s="77">
        <f t="shared" ref="AE49:AE54" si="33">$E49</f>
        <v>0.42356728366300983</v>
      </c>
      <c r="AF49" s="409">
        <f>ROUND(AG49*AF$33,0)</f>
        <v>6976</v>
      </c>
      <c r="AG49" s="77">
        <f t="shared" ref="AG49:AG54" si="34">$E49</f>
        <v>0.42356728366300983</v>
      </c>
      <c r="AH49" s="409">
        <f>ROUND(AI49*AH$33,0)</f>
        <v>8293</v>
      </c>
      <c r="AI49" s="71">
        <f t="shared" ref="AI49:AI54" si="35">$E49</f>
        <v>0.42356728366300983</v>
      </c>
    </row>
    <row r="50" spans="1:35" outlineLevel="1" x14ac:dyDescent="0.3">
      <c r="B50" s="109" t="s">
        <v>216</v>
      </c>
      <c r="C50" s="296"/>
      <c r="D50" s="409">
        <f>SUM(D51:D53)</f>
        <v>2025</v>
      </c>
      <c r="E50" s="77">
        <f t="shared" si="22"/>
        <v>0.17154474988351898</v>
      </c>
      <c r="F50" s="423">
        <f>SUM(F51:F53)</f>
        <v>2025</v>
      </c>
      <c r="G50" s="79">
        <f t="shared" si="23"/>
        <v>0.17154474988351898</v>
      </c>
      <c r="H50" s="423">
        <f>SUM(H51:H53)</f>
        <v>2025</v>
      </c>
      <c r="I50" s="79">
        <f t="shared" si="23"/>
        <v>0.17154474988351898</v>
      </c>
      <c r="J50" s="423">
        <f>SUM(J51:J53)</f>
        <v>2025</v>
      </c>
      <c r="K50" s="79">
        <f t="shared" si="24"/>
        <v>0.17154474988351898</v>
      </c>
      <c r="L50" s="423">
        <f>SUM(L51:L53)</f>
        <v>2059</v>
      </c>
      <c r="M50" s="79">
        <f t="shared" si="25"/>
        <v>0.17154474988351898</v>
      </c>
      <c r="N50" s="423">
        <f>SUM(N51:N53)</f>
        <v>2125</v>
      </c>
      <c r="O50" s="79">
        <f t="shared" si="25"/>
        <v>0.17154474988351898</v>
      </c>
      <c r="P50" s="423">
        <f>SUM(P51:P53)</f>
        <v>2191</v>
      </c>
      <c r="Q50" s="79">
        <f t="shared" si="26"/>
        <v>0.17154474988351898</v>
      </c>
      <c r="R50" s="409">
        <f>SUM(R51:R53)</f>
        <v>2091</v>
      </c>
      <c r="S50" s="77">
        <f t="shared" si="27"/>
        <v>0.17154474988351898</v>
      </c>
      <c r="T50" s="409">
        <f>SUM(T51:T53)</f>
        <v>2225</v>
      </c>
      <c r="U50" s="77">
        <f t="shared" si="28"/>
        <v>0.17154474988351898</v>
      </c>
      <c r="V50" s="409">
        <f>SUM(V51:V53)</f>
        <v>2359</v>
      </c>
      <c r="W50" s="71">
        <f t="shared" si="29"/>
        <v>0.17154474988351898</v>
      </c>
      <c r="X50" s="423">
        <f>SUM(X51:X53)</f>
        <v>2159</v>
      </c>
      <c r="Y50" s="79">
        <f t="shared" si="30"/>
        <v>0.17154474988351898</v>
      </c>
      <c r="Z50" s="423">
        <f>SUM(Z51:Z53)</f>
        <v>2425</v>
      </c>
      <c r="AA50" s="79">
        <f t="shared" si="31"/>
        <v>0.17154474988351898</v>
      </c>
      <c r="AB50" s="423">
        <f>SUM(AB51:AB53)</f>
        <v>2692</v>
      </c>
      <c r="AC50" s="79">
        <f t="shared" si="32"/>
        <v>0.17154474988351898</v>
      </c>
      <c r="AD50" s="409">
        <f>SUM(AD51:AD53)</f>
        <v>2291</v>
      </c>
      <c r="AE50" s="77">
        <f t="shared" si="33"/>
        <v>0.17154474988351898</v>
      </c>
      <c r="AF50" s="409">
        <f>SUM(AF51:AF53)</f>
        <v>2825</v>
      </c>
      <c r="AG50" s="77">
        <f t="shared" si="34"/>
        <v>0.17154474988351898</v>
      </c>
      <c r="AH50" s="409">
        <f>SUM(AH51:AH53)</f>
        <v>3359</v>
      </c>
      <c r="AI50" s="71">
        <f t="shared" si="35"/>
        <v>0.17154474988351898</v>
      </c>
    </row>
    <row r="51" spans="1:35" outlineLevel="1" x14ac:dyDescent="0.3">
      <c r="B51" s="110" t="s">
        <v>291</v>
      </c>
      <c r="C51" s="116"/>
      <c r="D51" s="403">
        <f t="array" ref="D51:D53">'Projection Setting'!J62:J64</f>
        <v>1913</v>
      </c>
      <c r="E51" s="83">
        <f t="shared" si="22"/>
        <v>0.16205684272946755</v>
      </c>
      <c r="F51" s="420">
        <f>ROUND(G51*F$33,0)</f>
        <v>1913</v>
      </c>
      <c r="G51" s="91">
        <f t="shared" si="23"/>
        <v>0.16205684272946755</v>
      </c>
      <c r="H51" s="420">
        <f>ROUND(I51*H$33,0)</f>
        <v>1913</v>
      </c>
      <c r="I51" s="91">
        <f t="shared" si="23"/>
        <v>0.16205684272946755</v>
      </c>
      <c r="J51" s="420">
        <f>ROUND(K51*J$33,0)</f>
        <v>1913</v>
      </c>
      <c r="K51" s="91">
        <f t="shared" si="24"/>
        <v>0.16205684272946755</v>
      </c>
      <c r="L51" s="420">
        <f>ROUND(M51*L$33,0)</f>
        <v>1945</v>
      </c>
      <c r="M51" s="91">
        <f t="shared" si="25"/>
        <v>0.16205684272946755</v>
      </c>
      <c r="N51" s="420">
        <f>ROUND(O51*N$33,0)</f>
        <v>2008</v>
      </c>
      <c r="O51" s="91">
        <f t="shared" si="25"/>
        <v>0.16205684272946755</v>
      </c>
      <c r="P51" s="420">
        <f>ROUND(Q51*P$33,0)</f>
        <v>2070</v>
      </c>
      <c r="Q51" s="91">
        <f t="shared" si="26"/>
        <v>0.16205684272946755</v>
      </c>
      <c r="R51" s="403">
        <f>ROUND(S51*R$33,0)</f>
        <v>1976</v>
      </c>
      <c r="S51" s="92">
        <f t="shared" si="27"/>
        <v>0.16205684272946755</v>
      </c>
      <c r="T51" s="403">
        <f>ROUND(U51*T$33,0)</f>
        <v>2102</v>
      </c>
      <c r="U51" s="83">
        <f t="shared" si="28"/>
        <v>0.16205684272946755</v>
      </c>
      <c r="V51" s="403">
        <f>ROUND(W51*V$33,0)</f>
        <v>2228</v>
      </c>
      <c r="W51" s="93">
        <f t="shared" si="29"/>
        <v>0.16205684272946755</v>
      </c>
      <c r="X51" s="420">
        <f>ROUND(Y51*X$33,0)</f>
        <v>2039</v>
      </c>
      <c r="Y51" s="91">
        <f t="shared" si="30"/>
        <v>0.16205684272946755</v>
      </c>
      <c r="Z51" s="420">
        <f>ROUND(AA51*Z$33,0)</f>
        <v>2291</v>
      </c>
      <c r="AA51" s="91">
        <f t="shared" si="31"/>
        <v>0.16205684272946755</v>
      </c>
      <c r="AB51" s="420">
        <f>ROUND(AC51*AB$33,0)</f>
        <v>2543</v>
      </c>
      <c r="AC51" s="91">
        <f t="shared" si="32"/>
        <v>0.16205684272946755</v>
      </c>
      <c r="AD51" s="403">
        <f>ROUND(AE51*AD$33,0)</f>
        <v>2165</v>
      </c>
      <c r="AE51" s="92">
        <f t="shared" si="33"/>
        <v>0.16205684272946755</v>
      </c>
      <c r="AF51" s="403">
        <f>ROUND(AG51*AF$33,0)</f>
        <v>2669</v>
      </c>
      <c r="AG51" s="83">
        <f t="shared" si="34"/>
        <v>0.16205684272946755</v>
      </c>
      <c r="AH51" s="403">
        <f>ROUND(AI51*AH$33,0)</f>
        <v>3173</v>
      </c>
      <c r="AI51" s="93">
        <f t="shared" si="35"/>
        <v>0.16205684272946755</v>
      </c>
    </row>
    <row r="52" spans="1:35" outlineLevel="1" x14ac:dyDescent="0.3">
      <c r="B52" s="110" t="s">
        <v>292</v>
      </c>
      <c r="C52" s="116"/>
      <c r="D52" s="403">
        <v>102</v>
      </c>
      <c r="E52" s="83">
        <f t="shared" si="22"/>
        <v>8.6407725867254006E-3</v>
      </c>
      <c r="F52" s="420">
        <f>ROUND(G52*F$33,0)</f>
        <v>102</v>
      </c>
      <c r="G52" s="91">
        <f t="shared" si="23"/>
        <v>8.6407725867254006E-3</v>
      </c>
      <c r="H52" s="420">
        <f>ROUND(I52*H$33,0)</f>
        <v>102</v>
      </c>
      <c r="I52" s="91">
        <f t="shared" si="23"/>
        <v>8.6407725867254006E-3</v>
      </c>
      <c r="J52" s="420">
        <f>ROUND(K52*J$33,0)</f>
        <v>102</v>
      </c>
      <c r="K52" s="91">
        <f t="shared" si="24"/>
        <v>8.6407725867254006E-3</v>
      </c>
      <c r="L52" s="420">
        <f>ROUND(M52*L$33,0)</f>
        <v>104</v>
      </c>
      <c r="M52" s="91">
        <f t="shared" si="25"/>
        <v>8.6407725867254006E-3</v>
      </c>
      <c r="N52" s="420">
        <f>ROUND(O52*N$33,0)</f>
        <v>107</v>
      </c>
      <c r="O52" s="91">
        <f t="shared" si="25"/>
        <v>8.6407725867254006E-3</v>
      </c>
      <c r="P52" s="420">
        <f>ROUND(Q52*P$33,0)</f>
        <v>110</v>
      </c>
      <c r="Q52" s="91">
        <f t="shared" si="26"/>
        <v>8.6407725867254006E-3</v>
      </c>
      <c r="R52" s="403">
        <f>ROUND(S52*R$33,0)</f>
        <v>105</v>
      </c>
      <c r="S52" s="92">
        <f t="shared" si="27"/>
        <v>8.6407725867254006E-3</v>
      </c>
      <c r="T52" s="403">
        <f>ROUND(U52*T$33,0)</f>
        <v>112</v>
      </c>
      <c r="U52" s="83">
        <f t="shared" si="28"/>
        <v>8.6407725867254006E-3</v>
      </c>
      <c r="V52" s="403">
        <f>ROUND(W52*V$33,0)</f>
        <v>119</v>
      </c>
      <c r="W52" s="93">
        <f t="shared" si="29"/>
        <v>8.6407725867254006E-3</v>
      </c>
      <c r="X52" s="420">
        <f>ROUND(Y52*X$33,0)</f>
        <v>109</v>
      </c>
      <c r="Y52" s="91">
        <f t="shared" si="30"/>
        <v>8.6407725867254006E-3</v>
      </c>
      <c r="Z52" s="420">
        <f>ROUND(AA52*Z$33,0)</f>
        <v>122</v>
      </c>
      <c r="AA52" s="91">
        <f t="shared" si="31"/>
        <v>8.6407725867254006E-3</v>
      </c>
      <c r="AB52" s="420">
        <f>ROUND(AC52*AB$33,0)</f>
        <v>136</v>
      </c>
      <c r="AC52" s="91">
        <f t="shared" si="32"/>
        <v>8.6407725867254006E-3</v>
      </c>
      <c r="AD52" s="403">
        <f>ROUND(AE52*AD$33,0)</f>
        <v>115</v>
      </c>
      <c r="AE52" s="92">
        <f t="shared" si="33"/>
        <v>8.6407725867254006E-3</v>
      </c>
      <c r="AF52" s="403">
        <f>ROUND(AG52*AF$33,0)</f>
        <v>142</v>
      </c>
      <c r="AG52" s="83">
        <f t="shared" si="34"/>
        <v>8.6407725867254006E-3</v>
      </c>
      <c r="AH52" s="403">
        <f>ROUND(AI52*AH$33,0)</f>
        <v>169</v>
      </c>
      <c r="AI52" s="93">
        <f t="shared" si="35"/>
        <v>8.6407725867254006E-3</v>
      </c>
    </row>
    <row r="53" spans="1:35" outlineLevel="1" x14ac:dyDescent="0.3">
      <c r="B53" s="110" t="s">
        <v>293</v>
      </c>
      <c r="C53" s="116"/>
      <c r="D53" s="403">
        <v>10</v>
      </c>
      <c r="E53" s="83">
        <f t="shared" si="22"/>
        <v>8.4713456732601964E-4</v>
      </c>
      <c r="F53" s="420">
        <f>ROUND(G53*F$33,0)</f>
        <v>10</v>
      </c>
      <c r="G53" s="91">
        <f t="shared" si="23"/>
        <v>8.4713456732601964E-4</v>
      </c>
      <c r="H53" s="420">
        <f>ROUND(I53*H$33,0)</f>
        <v>10</v>
      </c>
      <c r="I53" s="91">
        <f t="shared" si="23"/>
        <v>8.4713456732601964E-4</v>
      </c>
      <c r="J53" s="420">
        <f>ROUND(K53*J$33,0)</f>
        <v>10</v>
      </c>
      <c r="K53" s="91">
        <f t="shared" si="24"/>
        <v>8.4713456732601964E-4</v>
      </c>
      <c r="L53" s="420">
        <f>ROUND(M53*L$33,0)</f>
        <v>10</v>
      </c>
      <c r="M53" s="91">
        <f t="shared" si="25"/>
        <v>8.4713456732601964E-4</v>
      </c>
      <c r="N53" s="420">
        <f>ROUND(O53*N$33,0)</f>
        <v>10</v>
      </c>
      <c r="O53" s="91">
        <f t="shared" si="25"/>
        <v>8.4713456732601964E-4</v>
      </c>
      <c r="P53" s="420">
        <f>ROUND(Q53*P$33,0)</f>
        <v>11</v>
      </c>
      <c r="Q53" s="91">
        <f t="shared" si="26"/>
        <v>8.4713456732601964E-4</v>
      </c>
      <c r="R53" s="403">
        <f>ROUND(S53*R$33,0)</f>
        <v>10</v>
      </c>
      <c r="S53" s="92">
        <f t="shared" si="27"/>
        <v>8.4713456732601964E-4</v>
      </c>
      <c r="T53" s="403">
        <f>ROUND(U53*T$33,0)</f>
        <v>11</v>
      </c>
      <c r="U53" s="83">
        <f t="shared" si="28"/>
        <v>8.4713456732601964E-4</v>
      </c>
      <c r="V53" s="403">
        <f>ROUND(W53*V$33,0)</f>
        <v>12</v>
      </c>
      <c r="W53" s="93">
        <f t="shared" si="29"/>
        <v>8.4713456732601964E-4</v>
      </c>
      <c r="X53" s="420">
        <f>ROUND(Y53*X$33,0)</f>
        <v>11</v>
      </c>
      <c r="Y53" s="91">
        <f t="shared" si="30"/>
        <v>8.4713456732601964E-4</v>
      </c>
      <c r="Z53" s="420">
        <f>ROUND(AA53*Z$33,0)</f>
        <v>12</v>
      </c>
      <c r="AA53" s="91">
        <f t="shared" si="31"/>
        <v>8.4713456732601964E-4</v>
      </c>
      <c r="AB53" s="420">
        <f>ROUND(AC53*AB$33,0)</f>
        <v>13</v>
      </c>
      <c r="AC53" s="91">
        <f t="shared" si="32"/>
        <v>8.4713456732601964E-4</v>
      </c>
      <c r="AD53" s="403">
        <f>ROUND(AE53*AD$33,0)</f>
        <v>11</v>
      </c>
      <c r="AE53" s="92">
        <f t="shared" si="33"/>
        <v>8.4713456732601964E-4</v>
      </c>
      <c r="AF53" s="403">
        <f>ROUND(AG53*AF$33,0)</f>
        <v>14</v>
      </c>
      <c r="AG53" s="83">
        <f t="shared" si="34"/>
        <v>8.4713456732601964E-4</v>
      </c>
      <c r="AH53" s="403">
        <f>ROUND(AI53*AH$33,0)</f>
        <v>17</v>
      </c>
      <c r="AI53" s="93">
        <f t="shared" si="35"/>
        <v>8.4713456732601964E-4</v>
      </c>
    </row>
    <row r="54" spans="1:35" outlineLevel="1" x14ac:dyDescent="0.3">
      <c r="B54" s="109" t="s">
        <v>89</v>
      </c>
      <c r="C54" s="296"/>
      <c r="D54" s="409">
        <f>'Projection Setting'!J74</f>
        <v>423</v>
      </c>
      <c r="E54" s="77">
        <f t="shared" si="22"/>
        <v>3.5833792197890631E-2</v>
      </c>
      <c r="F54" s="423">
        <f>ROUND(G54*F$33,0)</f>
        <v>423</v>
      </c>
      <c r="G54" s="79">
        <f t="shared" si="23"/>
        <v>3.5833792197890631E-2</v>
      </c>
      <c r="H54" s="423">
        <f>ROUND(I54*H$33,0)</f>
        <v>423</v>
      </c>
      <c r="I54" s="79">
        <f t="shared" si="23"/>
        <v>3.5833792197890631E-2</v>
      </c>
      <c r="J54" s="423">
        <f>ROUND(K54*J$33,0)</f>
        <v>423</v>
      </c>
      <c r="K54" s="79">
        <f t="shared" si="24"/>
        <v>3.5833792197890631E-2</v>
      </c>
      <c r="L54" s="423">
        <f>ROUND(M54*L$33,0)</f>
        <v>430</v>
      </c>
      <c r="M54" s="79">
        <f t="shared" si="25"/>
        <v>3.5833792197890631E-2</v>
      </c>
      <c r="N54" s="423">
        <f>ROUND(O54*N$33,0)</f>
        <v>444</v>
      </c>
      <c r="O54" s="79">
        <f t="shared" si="25"/>
        <v>3.5833792197890631E-2</v>
      </c>
      <c r="P54" s="423">
        <f>ROUND(Q54*P$33,0)</f>
        <v>458</v>
      </c>
      <c r="Q54" s="79">
        <f t="shared" si="26"/>
        <v>3.5833792197890631E-2</v>
      </c>
      <c r="R54" s="409">
        <f>ROUND(S54*R$33,0)</f>
        <v>437</v>
      </c>
      <c r="S54" s="77">
        <f t="shared" si="27"/>
        <v>3.5833792197890631E-2</v>
      </c>
      <c r="T54" s="409">
        <f>ROUND(U54*T$33,0)</f>
        <v>465</v>
      </c>
      <c r="U54" s="77">
        <f t="shared" si="28"/>
        <v>3.5833792197890631E-2</v>
      </c>
      <c r="V54" s="409">
        <f>ROUND(W54*V$33,0)</f>
        <v>493</v>
      </c>
      <c r="W54" s="71">
        <f t="shared" si="29"/>
        <v>3.5833792197890631E-2</v>
      </c>
      <c r="X54" s="423">
        <f>ROUND(Y54*X$33,0)</f>
        <v>451</v>
      </c>
      <c r="Y54" s="79">
        <f t="shared" si="30"/>
        <v>3.5833792197890631E-2</v>
      </c>
      <c r="Z54" s="423">
        <f>ROUND(AA54*Z$33,0)</f>
        <v>507</v>
      </c>
      <c r="AA54" s="79">
        <f t="shared" si="31"/>
        <v>3.5833792197890631E-2</v>
      </c>
      <c r="AB54" s="423">
        <f>ROUND(AC54*AB$33,0)</f>
        <v>562</v>
      </c>
      <c r="AC54" s="79">
        <f t="shared" si="32"/>
        <v>3.5833792197890631E-2</v>
      </c>
      <c r="AD54" s="409">
        <f>ROUND(AE54*AD$33,0)</f>
        <v>479</v>
      </c>
      <c r="AE54" s="77">
        <f t="shared" si="33"/>
        <v>3.5833792197890631E-2</v>
      </c>
      <c r="AF54" s="409">
        <f>ROUND(AG54*AF$33,0)</f>
        <v>590</v>
      </c>
      <c r="AG54" s="77">
        <f t="shared" si="34"/>
        <v>3.5833792197890631E-2</v>
      </c>
      <c r="AH54" s="409">
        <f>ROUND(AI54*AH$33,0)</f>
        <v>702</v>
      </c>
      <c r="AI54" s="71">
        <f t="shared" si="35"/>
        <v>3.5833792197890631E-2</v>
      </c>
    </row>
    <row r="55" spans="1:35" outlineLevel="1" x14ac:dyDescent="0.3">
      <c r="B55" s="285"/>
      <c r="C55" s="75"/>
      <c r="D55" s="403"/>
      <c r="E55" s="123"/>
      <c r="F55" s="420"/>
      <c r="G55" s="124"/>
      <c r="J55" s="420"/>
      <c r="K55" s="124"/>
      <c r="L55" s="420"/>
      <c r="M55" s="124"/>
      <c r="N55" s="103"/>
      <c r="O55" s="103"/>
      <c r="P55" s="420"/>
      <c r="Q55" s="124"/>
      <c r="R55" s="403"/>
      <c r="S55" s="123"/>
      <c r="T55" s="125"/>
      <c r="U55" s="125"/>
      <c r="V55" s="403"/>
      <c r="W55" s="125"/>
      <c r="X55" s="420"/>
      <c r="Y55" s="124"/>
      <c r="Z55" s="103"/>
      <c r="AA55" s="103"/>
      <c r="AB55" s="420"/>
      <c r="AC55" s="124"/>
      <c r="AD55" s="403"/>
      <c r="AE55" s="123"/>
      <c r="AF55" s="125"/>
      <c r="AG55" s="125"/>
      <c r="AH55" s="403"/>
      <c r="AI55" s="286"/>
    </row>
    <row r="56" spans="1:35" ht="16.5" x14ac:dyDescent="0.3">
      <c r="B56" s="158" t="s">
        <v>90</v>
      </c>
      <c r="C56" s="289"/>
      <c r="D56" s="410"/>
      <c r="E56" s="162"/>
      <c r="F56" s="574" t="s">
        <v>90</v>
      </c>
      <c r="G56" s="574"/>
      <c r="H56" s="574"/>
      <c r="I56" s="574"/>
      <c r="J56" s="574"/>
      <c r="K56" s="574"/>
      <c r="L56" s="574" t="s">
        <v>90</v>
      </c>
      <c r="M56" s="574"/>
      <c r="N56" s="574"/>
      <c r="O56" s="574"/>
      <c r="P56" s="574"/>
      <c r="Q56" s="574"/>
      <c r="R56" s="574" t="s">
        <v>90</v>
      </c>
      <c r="S56" s="574"/>
      <c r="T56" s="574"/>
      <c r="U56" s="574"/>
      <c r="V56" s="574"/>
      <c r="W56" s="574"/>
      <c r="X56" s="574" t="s">
        <v>90</v>
      </c>
      <c r="Y56" s="574"/>
      <c r="Z56" s="574"/>
      <c r="AA56" s="574"/>
      <c r="AB56" s="574"/>
      <c r="AC56" s="574"/>
      <c r="AD56" s="574" t="s">
        <v>90</v>
      </c>
      <c r="AE56" s="574"/>
      <c r="AF56" s="574"/>
      <c r="AG56" s="574"/>
      <c r="AH56" s="574"/>
      <c r="AI56" s="574"/>
    </row>
    <row r="57" spans="1:35" x14ac:dyDescent="0.3">
      <c r="B57" s="114"/>
      <c r="C57" s="130"/>
      <c r="D57" s="407"/>
      <c r="E57" s="115" t="s">
        <v>302</v>
      </c>
      <c r="F57" s="428"/>
      <c r="G57" s="117" t="s">
        <v>302</v>
      </c>
      <c r="H57" s="297"/>
      <c r="I57" s="297"/>
      <c r="J57" s="428"/>
      <c r="K57" s="117" t="s">
        <v>302</v>
      </c>
      <c r="L57" s="428"/>
      <c r="M57" s="117" t="s">
        <v>302</v>
      </c>
      <c r="N57" s="297"/>
      <c r="O57" s="297"/>
      <c r="P57" s="428"/>
      <c r="Q57" s="117" t="s">
        <v>302</v>
      </c>
      <c r="R57" s="445"/>
      <c r="S57" s="115" t="s">
        <v>302</v>
      </c>
      <c r="T57" s="63"/>
      <c r="U57" s="63"/>
      <c r="V57" s="445"/>
      <c r="W57" s="115" t="s">
        <v>302</v>
      </c>
      <c r="X57" s="428"/>
      <c r="Y57" s="117" t="s">
        <v>302</v>
      </c>
      <c r="Z57" s="297"/>
      <c r="AA57" s="297"/>
      <c r="AB57" s="428"/>
      <c r="AC57" s="117" t="s">
        <v>302</v>
      </c>
      <c r="AD57" s="445"/>
      <c r="AE57" s="63" t="s">
        <v>302</v>
      </c>
      <c r="AF57" s="63"/>
      <c r="AG57" s="63"/>
      <c r="AH57" s="445"/>
      <c r="AI57" s="115" t="s">
        <v>302</v>
      </c>
    </row>
    <row r="58" spans="1:35" s="72" customFormat="1" x14ac:dyDescent="0.3">
      <c r="A58" s="137" t="s">
        <v>283</v>
      </c>
      <c r="B58" s="118" t="s">
        <v>299</v>
      </c>
      <c r="C58" s="130"/>
      <c r="D58" s="406">
        <f>SUM(D59:D60)</f>
        <v>46.8333333333334</v>
      </c>
      <c r="E58" s="451">
        <f>D$10/D58</f>
        <v>578.04270462633383</v>
      </c>
      <c r="F58" s="335">
        <f>SUM(F59:F60)</f>
        <v>46.8333333333334</v>
      </c>
      <c r="G58" s="452">
        <f>F10/F58</f>
        <v>578.04982206405612</v>
      </c>
      <c r="H58" s="466"/>
      <c r="I58" s="466"/>
      <c r="J58" s="335">
        <f>SUM(J59:J60)</f>
        <v>46.8333333333334</v>
      </c>
      <c r="K58" s="452">
        <f>J10/J58</f>
        <v>578.04982206405612</v>
      </c>
      <c r="L58" s="335">
        <v>47</v>
      </c>
      <c r="M58" s="452">
        <f>L10/L58</f>
        <v>571.85106382978722</v>
      </c>
      <c r="N58" s="466"/>
      <c r="O58" s="466"/>
      <c r="P58" s="335">
        <f>SUM(P59:P60)</f>
        <v>46</v>
      </c>
      <c r="Q58" s="452">
        <f>P10/P58</f>
        <v>567.39130434782612</v>
      </c>
      <c r="R58" s="406">
        <f>SUM(R59:R60)</f>
        <v>47</v>
      </c>
      <c r="S58" s="451">
        <f>R10/R58</f>
        <v>567.72340425531911</v>
      </c>
      <c r="T58" s="453"/>
      <c r="U58" s="453"/>
      <c r="V58" s="406">
        <f>SUM(V59:V60)</f>
        <v>45</v>
      </c>
      <c r="W58" s="451">
        <f>V10/V58</f>
        <v>558.4</v>
      </c>
      <c r="X58" s="335">
        <f>SUM(X59:X60)</f>
        <v>47</v>
      </c>
      <c r="Y58" s="452">
        <f>X10/X58</f>
        <v>559.44680851063833</v>
      </c>
      <c r="Z58" s="466"/>
      <c r="AA58" s="466"/>
      <c r="AB58" s="335">
        <f>SUM(AB59:AB60)</f>
        <v>43.400000000000006</v>
      </c>
      <c r="AC58" s="452">
        <f>AB10/AB58</f>
        <v>534.19354838709671</v>
      </c>
      <c r="AD58" s="406">
        <f>SUM(AD59:AD60)</f>
        <v>47</v>
      </c>
      <c r="AE58" s="453">
        <f>AD10/AD58</f>
        <v>542.91489361702122</v>
      </c>
      <c r="AF58" s="453"/>
      <c r="AG58" s="453"/>
      <c r="AH58" s="406">
        <f>SUM(AH59:AH60)</f>
        <v>39</v>
      </c>
      <c r="AI58" s="451">
        <f>AH10/AH58</f>
        <v>494.76923076923077</v>
      </c>
    </row>
    <row r="59" spans="1:35" s="72" customFormat="1" outlineLevel="1" x14ac:dyDescent="0.3">
      <c r="A59" s="68"/>
      <c r="B59" s="109" t="s">
        <v>298</v>
      </c>
      <c r="C59" s="296"/>
      <c r="D59" s="548">
        <v>1.3333333333333333</v>
      </c>
      <c r="E59" s="454">
        <f t="shared" ref="E59:E60" si="36">D$10/D59</f>
        <v>20303.750000000004</v>
      </c>
      <c r="F59" s="485">
        <f>$D59</f>
        <v>1.3333333333333333</v>
      </c>
      <c r="G59" s="486">
        <f t="shared" ref="G59:G60" si="37">F$10/F59</f>
        <v>20304</v>
      </c>
      <c r="H59" s="467"/>
      <c r="I59" s="467"/>
      <c r="J59" s="485">
        <f>$D59</f>
        <v>1.3333333333333333</v>
      </c>
      <c r="K59" s="486">
        <f t="shared" ref="K59:K60" si="38">J$10/J59</f>
        <v>20304</v>
      </c>
      <c r="L59" s="429">
        <v>1</v>
      </c>
      <c r="M59" s="455">
        <f t="shared" ref="M59:M60" si="39">L$10/L59</f>
        <v>26877</v>
      </c>
      <c r="N59" s="467"/>
      <c r="O59" s="467"/>
      <c r="P59" s="429">
        <v>1</v>
      </c>
      <c r="Q59" s="455">
        <f t="shared" ref="Q59:Q60" si="40">P$10/P59</f>
        <v>26100</v>
      </c>
      <c r="R59" s="429">
        <v>1</v>
      </c>
      <c r="S59" s="454">
        <f>R$10/R59</f>
        <v>26683</v>
      </c>
      <c r="T59" s="456"/>
      <c r="U59" s="456"/>
      <c r="V59" s="429">
        <v>1</v>
      </c>
      <c r="W59" s="454">
        <f>V$10/V59</f>
        <v>25128</v>
      </c>
      <c r="X59" s="429">
        <v>1</v>
      </c>
      <c r="Y59" s="455">
        <f>X$10/X59</f>
        <v>26294</v>
      </c>
      <c r="Z59" s="467"/>
      <c r="AA59" s="467"/>
      <c r="AB59" s="429">
        <v>1</v>
      </c>
      <c r="AC59" s="455">
        <f t="shared" ref="AC59:AC60" si="41">AB$10/AB59</f>
        <v>23184</v>
      </c>
      <c r="AD59" s="429">
        <v>1</v>
      </c>
      <c r="AE59" s="456">
        <f>AD$10/AD59</f>
        <v>25517</v>
      </c>
      <c r="AF59" s="456"/>
      <c r="AG59" s="456"/>
      <c r="AH59" s="429">
        <v>1</v>
      </c>
      <c r="AI59" s="454">
        <f>AH$10/AH59</f>
        <v>19296</v>
      </c>
    </row>
    <row r="60" spans="1:35" s="72" customFormat="1" outlineLevel="1" x14ac:dyDescent="0.3">
      <c r="A60" s="68"/>
      <c r="B60" s="109" t="s">
        <v>398</v>
      </c>
      <c r="C60" s="296"/>
      <c r="D60" s="411">
        <f>SUM(D61:D63)</f>
        <v>45.500000000000064</v>
      </c>
      <c r="E60" s="454">
        <f t="shared" si="36"/>
        <v>594.98168498168423</v>
      </c>
      <c r="F60" s="487">
        <f>SUM(F61:F63)</f>
        <v>45.500000000000064</v>
      </c>
      <c r="G60" s="486">
        <f t="shared" si="37"/>
        <v>594.98901098901013</v>
      </c>
      <c r="H60" s="467"/>
      <c r="I60" s="467"/>
      <c r="J60" s="487">
        <f>SUM(J61:J63)</f>
        <v>45.500000000000064</v>
      </c>
      <c r="K60" s="486">
        <f t="shared" si="38"/>
        <v>594.98901098901013</v>
      </c>
      <c r="L60" s="430">
        <f>SUM(L61:L63)</f>
        <v>46</v>
      </c>
      <c r="M60" s="455">
        <f t="shared" si="39"/>
        <v>584.28260869565213</v>
      </c>
      <c r="N60" s="467"/>
      <c r="O60" s="467"/>
      <c r="P60" s="430">
        <f>SUM(P61:P63)</f>
        <v>45</v>
      </c>
      <c r="Q60" s="455">
        <f t="shared" si="40"/>
        <v>580</v>
      </c>
      <c r="R60" s="411">
        <f>SUM(R61:R63)</f>
        <v>46</v>
      </c>
      <c r="S60" s="454">
        <f>R$10/R60</f>
        <v>580.06521739130437</v>
      </c>
      <c r="T60" s="456"/>
      <c r="U60" s="456"/>
      <c r="V60" s="411">
        <f>SUM(V61:V63)</f>
        <v>44</v>
      </c>
      <c r="W60" s="454">
        <f>V$10/V60</f>
        <v>571.09090909090912</v>
      </c>
      <c r="X60" s="430">
        <f>SUM(X61:X63)</f>
        <v>46</v>
      </c>
      <c r="Y60" s="455">
        <f>X$10/X60</f>
        <v>571.60869565217388</v>
      </c>
      <c r="Z60" s="467"/>
      <c r="AA60" s="467"/>
      <c r="AB60" s="430">
        <f>SUM(AB61:AB63)</f>
        <v>42.400000000000006</v>
      </c>
      <c r="AC60" s="455">
        <f t="shared" si="41"/>
        <v>546.79245283018861</v>
      </c>
      <c r="AD60" s="411">
        <f>SUM(AD61:AD63)</f>
        <v>46</v>
      </c>
      <c r="AE60" s="456">
        <f>AD$10/AD60</f>
        <v>554.71739130434787</v>
      </c>
      <c r="AF60" s="456"/>
      <c r="AG60" s="456"/>
      <c r="AH60" s="411">
        <f>SUM(AH61:AH63)</f>
        <v>38</v>
      </c>
      <c r="AI60" s="454">
        <f>AH$10/AH60</f>
        <v>507.78947368421052</v>
      </c>
    </row>
    <row r="61" spans="1:35" outlineLevel="1" x14ac:dyDescent="0.3">
      <c r="B61" s="110" t="s">
        <v>91</v>
      </c>
      <c r="C61" s="116"/>
      <c r="D61" s="459">
        <v>25.682081807081868</v>
      </c>
      <c r="E61" s="457">
        <f>SUM(D12:D16)/D61</f>
        <v>447.10160516791461</v>
      </c>
      <c r="F61" s="488">
        <f t="array" ref="F61:F63">$D61:$D63</f>
        <v>25.682081807081868</v>
      </c>
      <c r="G61" s="489" t="e">
        <f t="array" ref="G61:G63">(#REF!/F61:F63)</f>
        <v>#REF!</v>
      </c>
      <c r="H61" s="468"/>
      <c r="I61" s="468"/>
      <c r="J61" s="488">
        <f t="array" ref="J61:J63">$D61:$D63</f>
        <v>25.682081807081868</v>
      </c>
      <c r="K61" s="489" t="e">
        <f t="array" ref="K61:K63">(#REF!/J61:J63)</f>
        <v>#REF!</v>
      </c>
      <c r="L61" s="431">
        <v>26</v>
      </c>
      <c r="M61" s="457">
        <f>SUM(L12:L16)/L61</f>
        <v>438</v>
      </c>
      <c r="N61" s="468"/>
      <c r="O61" s="468"/>
      <c r="P61" s="431">
        <v>25</v>
      </c>
      <c r="Q61" s="457">
        <f>SUM(P12:P16)/P61</f>
        <v>432.72</v>
      </c>
      <c r="R61" s="431">
        <v>26</v>
      </c>
      <c r="S61" s="457">
        <f>SUM(R12:R16)/R61</f>
        <v>435.15384615384613</v>
      </c>
      <c r="T61" s="458"/>
      <c r="U61" s="458"/>
      <c r="V61" s="431">
        <v>24</v>
      </c>
      <c r="W61" s="457">
        <f>SUM(V12:V16)/V61</f>
        <v>441.08333333333331</v>
      </c>
      <c r="X61" s="431">
        <v>26</v>
      </c>
      <c r="Y61" s="457">
        <f>SUM(X12:X16)/X61</f>
        <v>429.42307692307691</v>
      </c>
      <c r="Z61" s="468"/>
      <c r="AA61" s="468"/>
      <c r="AB61" s="431">
        <f>SUM(X61*0.9)</f>
        <v>23.400000000000002</v>
      </c>
      <c r="AC61" s="457">
        <f>SUM(AB12:AB16)/AB61</f>
        <v>432.86324786324781</v>
      </c>
      <c r="AD61" s="431">
        <v>26</v>
      </c>
      <c r="AE61" s="457">
        <f>SUM(AD12:AD16)/AD61</f>
        <v>417.69230769230768</v>
      </c>
      <c r="AF61" s="458"/>
      <c r="AG61" s="458"/>
      <c r="AH61" s="431">
        <v>21</v>
      </c>
      <c r="AI61" s="457">
        <f>SUM(AH12:AH16)/AH61</f>
        <v>438.8095238095238</v>
      </c>
    </row>
    <row r="62" spans="1:35" outlineLevel="1" x14ac:dyDescent="0.3">
      <c r="B62" s="110" t="s">
        <v>92</v>
      </c>
      <c r="C62" s="116"/>
      <c r="D62" s="459">
        <v>10.68727106227106</v>
      </c>
      <c r="E62" s="457">
        <f>SUM(D18:D20)/D62</f>
        <v>526.09314082515755</v>
      </c>
      <c r="F62" s="488">
        <v>10.68727106227106</v>
      </c>
      <c r="G62" s="489" t="e">
        <v>#REF!</v>
      </c>
      <c r="H62" s="468"/>
      <c r="I62" s="468"/>
      <c r="J62" s="488">
        <v>10.68727106227106</v>
      </c>
      <c r="K62" s="489" t="e">
        <v>#REF!</v>
      </c>
      <c r="L62" s="431">
        <v>11</v>
      </c>
      <c r="M62" s="457">
        <f>SUM(L18:L20)/L62</f>
        <v>512.36363636363637</v>
      </c>
      <c r="N62" s="468"/>
      <c r="O62" s="468"/>
      <c r="P62" s="431">
        <v>11</v>
      </c>
      <c r="Q62" s="457">
        <f>SUM(P18:P20)/P62</f>
        <v>529.18181818181813</v>
      </c>
      <c r="R62" s="431">
        <v>11</v>
      </c>
      <c r="S62" s="457">
        <f>SUM(R18:R20)/R62</f>
        <v>508.27272727272725</v>
      </c>
      <c r="T62" s="458"/>
      <c r="U62" s="458"/>
      <c r="V62" s="431">
        <v>11</v>
      </c>
      <c r="W62" s="457">
        <f>SUM(V18:V20)/V62</f>
        <v>501.27272727272725</v>
      </c>
      <c r="X62" s="431">
        <v>11</v>
      </c>
      <c r="Y62" s="457">
        <f>SUM(X18:X20)/X62</f>
        <v>500.09090909090907</v>
      </c>
      <c r="Z62" s="468"/>
      <c r="AA62" s="468"/>
      <c r="AB62" s="431">
        <v>11</v>
      </c>
      <c r="AC62" s="457">
        <f>SUM(AB18:AB20)/AB62</f>
        <v>445.72727272727275</v>
      </c>
      <c r="AD62" s="431">
        <v>11</v>
      </c>
      <c r="AE62" s="457">
        <f>SUM(AD18:AD20)/AD62</f>
        <v>484</v>
      </c>
      <c r="AF62" s="458"/>
      <c r="AG62" s="458"/>
      <c r="AH62" s="431">
        <v>10</v>
      </c>
      <c r="AI62" s="457">
        <f>SUM(AH18:AH20)/AH62</f>
        <v>366.5</v>
      </c>
    </row>
    <row r="63" spans="1:35" outlineLevel="1" x14ac:dyDescent="0.3">
      <c r="B63" s="110" t="s">
        <v>231</v>
      </c>
      <c r="C63" s="116"/>
      <c r="D63" s="459">
        <v>9.130647130647132</v>
      </c>
      <c r="E63" s="457">
        <f>SUM(D21:D24)/D63</f>
        <v>861.01965766247656</v>
      </c>
      <c r="F63" s="488">
        <v>9.130647130647132</v>
      </c>
      <c r="G63" s="489" t="e">
        <v>#REF!</v>
      </c>
      <c r="H63" s="468"/>
      <c r="I63" s="468"/>
      <c r="J63" s="488">
        <v>9.130647130647132</v>
      </c>
      <c r="K63" s="489" t="e">
        <v>#REF!</v>
      </c>
      <c r="L63" s="431">
        <v>9</v>
      </c>
      <c r="M63" s="457">
        <f>SUM(L21:L24)/L63</f>
        <v>858.77777777777783</v>
      </c>
      <c r="N63" s="468"/>
      <c r="O63" s="468"/>
      <c r="P63" s="431">
        <v>9</v>
      </c>
      <c r="Q63" s="457">
        <f>SUM(P21:P24)/P63</f>
        <v>822.33333333333337</v>
      </c>
      <c r="R63" s="431">
        <v>9</v>
      </c>
      <c r="S63" s="457">
        <f>SUM(R21:R24)/R63</f>
        <v>852.11111111111109</v>
      </c>
      <c r="T63" s="458"/>
      <c r="U63" s="458"/>
      <c r="V63" s="431">
        <v>9</v>
      </c>
      <c r="W63" s="457">
        <f>SUM(V21:V24)/V63</f>
        <v>784.55555555555554</v>
      </c>
      <c r="X63" s="431">
        <v>9</v>
      </c>
      <c r="Y63" s="457">
        <f>SUM(X21:X24)/X63</f>
        <v>838.77777777777783</v>
      </c>
      <c r="Z63" s="468"/>
      <c r="AA63" s="468"/>
      <c r="AB63" s="431">
        <v>8</v>
      </c>
      <c r="AC63" s="457">
        <f>SUM(AB21:AB24)/AB63</f>
        <v>796.375</v>
      </c>
      <c r="AD63" s="431">
        <v>9</v>
      </c>
      <c r="AE63" s="457">
        <f>SUM(AD21:AD24)/AD63</f>
        <v>812.55555555555554</v>
      </c>
      <c r="AF63" s="458"/>
      <c r="AG63" s="458"/>
      <c r="AH63" s="431">
        <v>7</v>
      </c>
      <c r="AI63" s="457">
        <f>SUM(AH21:AH24)/AH63</f>
        <v>715.85714285714289</v>
      </c>
    </row>
    <row r="64" spans="1:35" outlineLevel="1" x14ac:dyDescent="0.3">
      <c r="B64" s="113"/>
      <c r="C64" s="98"/>
      <c r="D64" s="412"/>
      <c r="E64" s="97"/>
      <c r="F64" s="432"/>
      <c r="G64" s="99"/>
      <c r="H64" s="469"/>
      <c r="I64" s="469"/>
      <c r="J64" s="432"/>
      <c r="K64" s="99"/>
      <c r="L64" s="432"/>
      <c r="M64" s="99"/>
      <c r="N64" s="469"/>
      <c r="O64" s="469"/>
      <c r="P64" s="432"/>
      <c r="Q64" s="99"/>
      <c r="R64" s="412"/>
      <c r="S64" s="97"/>
      <c r="T64" s="100"/>
      <c r="U64" s="100"/>
      <c r="V64" s="412"/>
      <c r="W64" s="97"/>
      <c r="X64" s="432"/>
      <c r="Y64" s="99"/>
      <c r="Z64" s="469"/>
      <c r="AA64" s="469"/>
      <c r="AB64" s="432"/>
      <c r="AC64" s="99"/>
      <c r="AD64" s="412"/>
      <c r="AE64" s="100"/>
      <c r="AF64" s="100"/>
      <c r="AG64" s="100"/>
      <c r="AH64" s="412"/>
      <c r="AI64" s="97"/>
    </row>
    <row r="65" spans="1:35" ht="16.5" x14ac:dyDescent="0.3">
      <c r="B65" s="158" t="s">
        <v>84</v>
      </c>
      <c r="C65" s="289"/>
      <c r="D65" s="410"/>
      <c r="E65" s="162"/>
      <c r="F65" s="574" t="s">
        <v>84</v>
      </c>
      <c r="G65" s="574"/>
      <c r="H65" s="574"/>
      <c r="I65" s="574"/>
      <c r="J65" s="574"/>
      <c r="K65" s="574"/>
      <c r="L65" s="574" t="s">
        <v>84</v>
      </c>
      <c r="M65" s="574"/>
      <c r="N65" s="574"/>
      <c r="O65" s="574"/>
      <c r="P65" s="574"/>
      <c r="Q65" s="574"/>
      <c r="R65" s="574" t="s">
        <v>84</v>
      </c>
      <c r="S65" s="574"/>
      <c r="T65" s="574"/>
      <c r="U65" s="574"/>
      <c r="V65" s="574"/>
      <c r="W65" s="574"/>
      <c r="X65" s="574" t="s">
        <v>84</v>
      </c>
      <c r="Y65" s="574"/>
      <c r="Z65" s="574"/>
      <c r="AA65" s="574"/>
      <c r="AB65" s="574"/>
      <c r="AC65" s="574"/>
      <c r="AD65" s="574" t="s">
        <v>84</v>
      </c>
      <c r="AE65" s="574"/>
      <c r="AF65" s="574"/>
      <c r="AG65" s="574"/>
      <c r="AH65" s="574"/>
      <c r="AI65" s="574"/>
    </row>
    <row r="66" spans="1:35" s="72" customFormat="1" x14ac:dyDescent="0.3">
      <c r="A66" s="68"/>
      <c r="B66" s="114"/>
      <c r="C66" s="130"/>
      <c r="D66" s="407"/>
      <c r="E66" s="115" t="s">
        <v>294</v>
      </c>
      <c r="F66" s="428"/>
      <c r="G66" s="117" t="s">
        <v>294</v>
      </c>
      <c r="H66" s="297"/>
      <c r="I66" s="297"/>
      <c r="J66" s="428"/>
      <c r="K66" s="117" t="s">
        <v>294</v>
      </c>
      <c r="L66" s="428"/>
      <c r="M66" s="117" t="s">
        <v>294</v>
      </c>
      <c r="N66" s="297"/>
      <c r="O66" s="297"/>
      <c r="P66" s="428"/>
      <c r="Q66" s="117" t="s">
        <v>294</v>
      </c>
      <c r="R66" s="445"/>
      <c r="S66" s="115" t="s">
        <v>294</v>
      </c>
      <c r="T66" s="63"/>
      <c r="U66" s="63"/>
      <c r="V66" s="445"/>
      <c r="W66" s="115" t="s">
        <v>294</v>
      </c>
      <c r="X66" s="428"/>
      <c r="Y66" s="117" t="s">
        <v>294</v>
      </c>
      <c r="Z66" s="297"/>
      <c r="AA66" s="297"/>
      <c r="AB66" s="428"/>
      <c r="AC66" s="117" t="s">
        <v>294</v>
      </c>
      <c r="AD66" s="445"/>
      <c r="AE66" s="63" t="s">
        <v>294</v>
      </c>
      <c r="AF66" s="63"/>
      <c r="AG66" s="63"/>
      <c r="AH66" s="445"/>
      <c r="AI66" s="115" t="s">
        <v>294</v>
      </c>
    </row>
    <row r="67" spans="1:35" x14ac:dyDescent="0.3">
      <c r="B67" s="118" t="s">
        <v>225</v>
      </c>
      <c r="C67" s="130"/>
      <c r="D67" s="407">
        <f>SUM(D68:D72)</f>
        <v>362</v>
      </c>
      <c r="E67" s="119">
        <f t="shared" ref="E67:E72" si="42">D$10/D67</f>
        <v>74.783609576427267</v>
      </c>
      <c r="F67" s="433">
        <f>SUM(F68:F72)</f>
        <v>362</v>
      </c>
      <c r="G67" s="121">
        <f t="shared" ref="G67:G72" si="43">F$10/F67</f>
        <v>74.784530386740329</v>
      </c>
      <c r="H67" s="470"/>
      <c r="I67" s="470"/>
      <c r="J67" s="433">
        <f>SUM(J68:J72)</f>
        <v>362</v>
      </c>
      <c r="K67" s="121">
        <f t="shared" ref="K67:K72" si="44">J$10/J67</f>
        <v>74.784530386740329</v>
      </c>
      <c r="L67" s="433">
        <f>SUM(L68:L72)</f>
        <v>358.84995382626357</v>
      </c>
      <c r="M67" s="121">
        <f t="shared" ref="M67:Q72" si="45">L$10/L67</f>
        <v>74.897599159264317</v>
      </c>
      <c r="N67" s="470"/>
      <c r="O67" s="470"/>
      <c r="P67" s="433">
        <f>SUM(P68:P72)</f>
        <v>349.26817706088775</v>
      </c>
      <c r="Q67" s="121">
        <f t="shared" si="45"/>
        <v>74.727678369191935</v>
      </c>
      <c r="R67" s="446">
        <f>SUM(R68:R72)</f>
        <v>356.70727082435508</v>
      </c>
      <c r="S67" s="119">
        <f t="shared" ref="S67:W72" si="46">R$10/R67</f>
        <v>74.803633630274049</v>
      </c>
      <c r="T67" s="477"/>
      <c r="U67" s="477"/>
      <c r="V67" s="446">
        <f>SUM(V68:V72)</f>
        <v>336.53267253586154</v>
      </c>
      <c r="W67" s="119">
        <f t="shared" si="46"/>
        <v>74.667341541176256</v>
      </c>
      <c r="X67" s="433">
        <f>SUM(X68:X72)</f>
        <v>352.41086006279625</v>
      </c>
      <c r="Y67" s="121">
        <f t="shared" ref="Y67:Y72" si="47">X$10/X67</f>
        <v>74.611775571600319</v>
      </c>
      <c r="Z67" s="470"/>
      <c r="AA67" s="470"/>
      <c r="AB67" s="433">
        <f>SUM(AB68:AB72)</f>
        <v>312.06166348580922</v>
      </c>
      <c r="AC67" s="121">
        <f t="shared" ref="AC67:AC72" si="48">AB$10/AB67</f>
        <v>74.293009083617463</v>
      </c>
      <c r="AD67" s="446">
        <f>SUM(AD68:AD72)</f>
        <v>343.82908329742042</v>
      </c>
      <c r="AE67" s="122">
        <f t="shared" ref="AE67:AE72" si="49">AD$10/AD67</f>
        <v>74.214198971432509</v>
      </c>
      <c r="AF67" s="122"/>
      <c r="AG67" s="122"/>
      <c r="AH67" s="446">
        <f>SUM(AH68:AH72)</f>
        <v>263.11964538570459</v>
      </c>
      <c r="AI67" s="119">
        <f t="shared" ref="AI67" si="50">AH$10/AH67</f>
        <v>73.335459128162697</v>
      </c>
    </row>
    <row r="68" spans="1:35" outlineLevel="1" x14ac:dyDescent="0.3">
      <c r="A68" s="137" t="s">
        <v>283</v>
      </c>
      <c r="B68" s="105" t="s">
        <v>213</v>
      </c>
      <c r="C68" s="294"/>
      <c r="D68" s="413">
        <f>ROUND(2.66666666666667, 0)</f>
        <v>3</v>
      </c>
      <c r="E68" s="119">
        <f t="shared" si="42"/>
        <v>9023.8888888888905</v>
      </c>
      <c r="F68" s="434">
        <f t="array" ref="F68:F72">$D68:$D72</f>
        <v>3</v>
      </c>
      <c r="G68" s="121">
        <f t="shared" si="43"/>
        <v>9024</v>
      </c>
      <c r="H68" s="470"/>
      <c r="I68" s="470"/>
      <c r="J68" s="434">
        <f t="array" ref="J68:J72">$D68:$D72</f>
        <v>3</v>
      </c>
      <c r="K68" s="121">
        <f t="shared" si="44"/>
        <v>9024</v>
      </c>
      <c r="L68" s="434">
        <v>3</v>
      </c>
      <c r="M68" s="121">
        <f t="shared" si="45"/>
        <v>8959</v>
      </c>
      <c r="N68" s="470"/>
      <c r="O68" s="470"/>
      <c r="P68" s="434">
        <v>3</v>
      </c>
      <c r="Q68" s="121">
        <f t="shared" si="45"/>
        <v>8700</v>
      </c>
      <c r="R68" s="434">
        <v>3</v>
      </c>
      <c r="S68" s="119">
        <f t="shared" si="46"/>
        <v>8894.3333333333339</v>
      </c>
      <c r="T68" s="477"/>
      <c r="U68" s="477"/>
      <c r="V68" s="434">
        <v>3</v>
      </c>
      <c r="W68" s="119">
        <f t="shared" si="46"/>
        <v>8376</v>
      </c>
      <c r="X68" s="434">
        <v>3</v>
      </c>
      <c r="Y68" s="121">
        <f t="shared" si="47"/>
        <v>8764.6666666666661</v>
      </c>
      <c r="Z68" s="470"/>
      <c r="AA68" s="470"/>
      <c r="AB68" s="434">
        <v>3</v>
      </c>
      <c r="AC68" s="121">
        <f t="shared" si="48"/>
        <v>7728</v>
      </c>
      <c r="AD68" s="434">
        <v>3</v>
      </c>
      <c r="AE68" s="122">
        <f t="shared" si="49"/>
        <v>8505.6666666666661</v>
      </c>
      <c r="AF68" s="122"/>
      <c r="AG68" s="122"/>
      <c r="AH68" s="434">
        <v>3</v>
      </c>
      <c r="AI68" s="119">
        <f t="shared" ref="AI68" si="51">AH$10/AH68</f>
        <v>6432</v>
      </c>
    </row>
    <row r="69" spans="1:35" outlineLevel="1" x14ac:dyDescent="0.3">
      <c r="A69" s="137" t="s">
        <v>283</v>
      </c>
      <c r="B69" s="105" t="s">
        <v>214</v>
      </c>
      <c r="C69" s="294"/>
      <c r="D69" s="413">
        <f>ROUND(41.0216666666667, 0)</f>
        <v>41</v>
      </c>
      <c r="E69" s="119">
        <f t="shared" si="42"/>
        <v>660.28455284552854</v>
      </c>
      <c r="F69" s="434">
        <v>41</v>
      </c>
      <c r="G69" s="121">
        <f t="shared" si="43"/>
        <v>660.29268292682923</v>
      </c>
      <c r="H69" s="470"/>
      <c r="I69" s="470"/>
      <c r="J69" s="434">
        <v>41</v>
      </c>
      <c r="K69" s="121">
        <f t="shared" si="44"/>
        <v>660.29268292682923</v>
      </c>
      <c r="L69" s="434">
        <f>SUM(L10/E69)</f>
        <v>40.705177614972598</v>
      </c>
      <c r="M69" s="121">
        <f t="shared" si="45"/>
        <v>660.28455284552854</v>
      </c>
      <c r="N69" s="470"/>
      <c r="O69" s="470"/>
      <c r="P69" s="434">
        <f>SUM(P10/E69)</f>
        <v>39.528412239118381</v>
      </c>
      <c r="Q69" s="121">
        <f t="shared" si="45"/>
        <v>660.28455284552854</v>
      </c>
      <c r="R69" s="434">
        <f>SUM(R10/M69)</f>
        <v>40.411364895647353</v>
      </c>
      <c r="S69" s="119">
        <f t="shared" si="46"/>
        <v>660.28455284552854</v>
      </c>
      <c r="T69" s="477"/>
      <c r="U69" s="477"/>
      <c r="V69" s="434">
        <f>SUM(V10/Q69)</f>
        <v>38.056319645385699</v>
      </c>
      <c r="W69" s="119">
        <f t="shared" si="46"/>
        <v>660.28455284552854</v>
      </c>
      <c r="X69" s="434">
        <f>SUM(X10/S69)</f>
        <v>39.822224958443634</v>
      </c>
      <c r="Y69" s="121">
        <f t="shared" si="47"/>
        <v>660.28455284552854</v>
      </c>
      <c r="Z69" s="470"/>
      <c r="AA69" s="470"/>
      <c r="AB69" s="434">
        <f>SUM(AB10/W69)</f>
        <v>35.112134457920334</v>
      </c>
      <c r="AC69" s="121">
        <f t="shared" si="48"/>
        <v>660.28455284552842</v>
      </c>
      <c r="AD69" s="434">
        <f>SUM(AD10/Y69)</f>
        <v>38.645459582589417</v>
      </c>
      <c r="AE69" s="122">
        <f t="shared" si="49"/>
        <v>660.28455284552854</v>
      </c>
      <c r="AF69" s="122"/>
      <c r="AG69" s="122"/>
      <c r="AH69" s="434">
        <f>SUM(AH10/AC69)</f>
        <v>29.223764082989597</v>
      </c>
      <c r="AI69" s="119">
        <f t="shared" ref="AI69" si="52">AH$10/AH69</f>
        <v>660.28455284552842</v>
      </c>
    </row>
    <row r="70" spans="1:35" outlineLevel="1" x14ac:dyDescent="0.3">
      <c r="B70" s="105" t="s">
        <v>79</v>
      </c>
      <c r="C70" s="294"/>
      <c r="D70" s="413">
        <f>ROUND(46.825, 0)</f>
        <v>47</v>
      </c>
      <c r="E70" s="119">
        <f t="shared" si="42"/>
        <v>575.9929078014186</v>
      </c>
      <c r="F70" s="434">
        <v>47</v>
      </c>
      <c r="G70" s="121">
        <f t="shared" si="43"/>
        <v>576</v>
      </c>
      <c r="H70" s="470"/>
      <c r="I70" s="470"/>
      <c r="J70" s="434">
        <v>47</v>
      </c>
      <c r="K70" s="121">
        <f t="shared" si="44"/>
        <v>576</v>
      </c>
      <c r="L70" s="434">
        <v>46</v>
      </c>
      <c r="M70" s="121">
        <f t="shared" si="45"/>
        <v>584.28260869565213</v>
      </c>
      <c r="N70" s="470"/>
      <c r="O70" s="470"/>
      <c r="P70" s="434">
        <v>45</v>
      </c>
      <c r="Q70" s="121">
        <f t="shared" si="45"/>
        <v>580</v>
      </c>
      <c r="R70" s="434">
        <v>46</v>
      </c>
      <c r="S70" s="119">
        <f t="shared" si="46"/>
        <v>580.06521739130437</v>
      </c>
      <c r="T70" s="477"/>
      <c r="U70" s="477"/>
      <c r="V70" s="434">
        <v>44</v>
      </c>
      <c r="W70" s="119">
        <f t="shared" si="46"/>
        <v>571.09090909090912</v>
      </c>
      <c r="X70" s="434">
        <v>46</v>
      </c>
      <c r="Y70" s="121">
        <f t="shared" si="47"/>
        <v>571.60869565217388</v>
      </c>
      <c r="Z70" s="470"/>
      <c r="AA70" s="470"/>
      <c r="AB70" s="434">
        <v>42</v>
      </c>
      <c r="AC70" s="121">
        <f t="shared" si="48"/>
        <v>552</v>
      </c>
      <c r="AD70" s="434">
        <v>46</v>
      </c>
      <c r="AE70" s="122">
        <f t="shared" si="49"/>
        <v>554.71739130434787</v>
      </c>
      <c r="AF70" s="122"/>
      <c r="AG70" s="122"/>
      <c r="AH70" s="434">
        <v>38</v>
      </c>
      <c r="AI70" s="119">
        <f t="shared" ref="AI70" si="53">AH$10/AH70</f>
        <v>507.78947368421052</v>
      </c>
    </row>
    <row r="71" spans="1:35" outlineLevel="1" x14ac:dyDescent="0.3">
      <c r="B71" s="105" t="s">
        <v>80</v>
      </c>
      <c r="C71" s="294"/>
      <c r="D71" s="413">
        <f>ROUND(12.675,0)</f>
        <v>13</v>
      </c>
      <c r="E71" s="119">
        <f t="shared" si="42"/>
        <v>2082.4358974358979</v>
      </c>
      <c r="F71" s="434">
        <v>13</v>
      </c>
      <c r="G71" s="121">
        <f t="shared" si="43"/>
        <v>2082.4615384615386</v>
      </c>
      <c r="H71" s="470"/>
      <c r="I71" s="470"/>
      <c r="J71" s="434">
        <v>13</v>
      </c>
      <c r="K71" s="121">
        <f t="shared" si="44"/>
        <v>2082.4615384615386</v>
      </c>
      <c r="L71" s="434">
        <v>13</v>
      </c>
      <c r="M71" s="121">
        <f t="shared" si="45"/>
        <v>2067.4615384615386</v>
      </c>
      <c r="N71" s="470"/>
      <c r="O71" s="470"/>
      <c r="P71" s="434">
        <v>13</v>
      </c>
      <c r="Q71" s="121">
        <f t="shared" si="45"/>
        <v>2007.6923076923076</v>
      </c>
      <c r="R71" s="434">
        <v>13</v>
      </c>
      <c r="S71" s="119">
        <f t="shared" si="46"/>
        <v>2052.5384615384614</v>
      </c>
      <c r="T71" s="477"/>
      <c r="U71" s="477"/>
      <c r="V71" s="434">
        <v>12</v>
      </c>
      <c r="W71" s="119">
        <f t="shared" si="46"/>
        <v>2094</v>
      </c>
      <c r="X71" s="434">
        <v>13</v>
      </c>
      <c r="Y71" s="121">
        <f t="shared" si="47"/>
        <v>2022.6153846153845</v>
      </c>
      <c r="Z71" s="470"/>
      <c r="AA71" s="470"/>
      <c r="AB71" s="434">
        <v>11</v>
      </c>
      <c r="AC71" s="121">
        <f t="shared" si="48"/>
        <v>2107.6363636363635</v>
      </c>
      <c r="AD71" s="434">
        <v>13</v>
      </c>
      <c r="AE71" s="122">
        <f t="shared" si="49"/>
        <v>1962.8461538461538</v>
      </c>
      <c r="AF71" s="122"/>
      <c r="AG71" s="122"/>
      <c r="AH71" s="434">
        <v>9</v>
      </c>
      <c r="AI71" s="119">
        <f t="shared" ref="AI71" si="54">AH$10/AH71</f>
        <v>2144</v>
      </c>
    </row>
    <row r="72" spans="1:35" outlineLevel="1" x14ac:dyDescent="0.3">
      <c r="A72" s="137" t="s">
        <v>283</v>
      </c>
      <c r="B72" s="105" t="s">
        <v>215</v>
      </c>
      <c r="C72" s="294"/>
      <c r="D72" s="413">
        <f>ROUND(258.495,0)</f>
        <v>258</v>
      </c>
      <c r="E72" s="119">
        <f t="shared" si="42"/>
        <v>104.92894056847547</v>
      </c>
      <c r="F72" s="434">
        <v>258</v>
      </c>
      <c r="G72" s="121">
        <f t="shared" si="43"/>
        <v>104.93023255813954</v>
      </c>
      <c r="H72" s="470"/>
      <c r="I72" s="470"/>
      <c r="J72" s="434">
        <v>258</v>
      </c>
      <c r="K72" s="121">
        <f t="shared" si="44"/>
        <v>104.93023255813954</v>
      </c>
      <c r="L72" s="434">
        <f>SUM(L10/E72)</f>
        <v>256.144776211291</v>
      </c>
      <c r="M72" s="121">
        <f t="shared" si="45"/>
        <v>104.92894056847545</v>
      </c>
      <c r="N72" s="470"/>
      <c r="O72" s="470"/>
      <c r="P72" s="434">
        <f>SUM(P10/E72)</f>
        <v>248.73976482176934</v>
      </c>
      <c r="Q72" s="121">
        <f t="shared" si="45"/>
        <v>104.92894056847547</v>
      </c>
      <c r="R72" s="434">
        <f>SUM(R10/M72)</f>
        <v>254.29590592870775</v>
      </c>
      <c r="S72" s="119">
        <f t="shared" si="46"/>
        <v>104.92894056847545</v>
      </c>
      <c r="T72" s="477"/>
      <c r="U72" s="477"/>
      <c r="V72" s="434">
        <f>SUM(V10/Q72)</f>
        <v>239.47635289047585</v>
      </c>
      <c r="W72" s="119">
        <f t="shared" si="46"/>
        <v>104.92894056847547</v>
      </c>
      <c r="X72" s="434">
        <f>SUM(X10/S72)</f>
        <v>250.58863510435265</v>
      </c>
      <c r="Y72" s="121">
        <f t="shared" si="47"/>
        <v>104.92894056847545</v>
      </c>
      <c r="Z72" s="470"/>
      <c r="AA72" s="470"/>
      <c r="AB72" s="434">
        <f>SUM(AB10/W72)</f>
        <v>220.9495290278889</v>
      </c>
      <c r="AC72" s="121">
        <f t="shared" si="48"/>
        <v>104.92894056847547</v>
      </c>
      <c r="AD72" s="434">
        <f>SUM(AD10/Y72)</f>
        <v>243.18362371483099</v>
      </c>
      <c r="AE72" s="122">
        <f t="shared" si="49"/>
        <v>104.92894056847545</v>
      </c>
      <c r="AF72" s="122"/>
      <c r="AG72" s="122"/>
      <c r="AH72" s="434">
        <f>SUM(AH10/AC72)</f>
        <v>183.895881302715</v>
      </c>
      <c r="AI72" s="119">
        <f t="shared" ref="AI72" si="55">AH$10/AH72</f>
        <v>104.92894056847547</v>
      </c>
    </row>
    <row r="73" spans="1:35" s="108" customFormat="1" outlineLevel="1" x14ac:dyDescent="0.3">
      <c r="A73" s="106"/>
      <c r="B73" s="105"/>
      <c r="C73" s="294"/>
      <c r="D73" s="403"/>
      <c r="E73" s="123"/>
      <c r="F73" s="420"/>
      <c r="G73" s="124"/>
      <c r="H73" s="103"/>
      <c r="I73" s="103"/>
      <c r="J73" s="420"/>
      <c r="K73" s="124"/>
      <c r="L73" s="420"/>
      <c r="M73" s="124"/>
      <c r="N73" s="103"/>
      <c r="O73" s="103"/>
      <c r="P73" s="420"/>
      <c r="Q73" s="124"/>
      <c r="R73" s="403"/>
      <c r="S73" s="123"/>
      <c r="T73" s="125"/>
      <c r="U73" s="125"/>
      <c r="V73" s="403"/>
      <c r="W73" s="123"/>
      <c r="X73" s="420"/>
      <c r="Y73" s="124"/>
      <c r="Z73" s="103"/>
      <c r="AA73" s="103"/>
      <c r="AB73" s="420"/>
      <c r="AC73" s="124"/>
      <c r="AD73" s="403"/>
      <c r="AE73" s="125"/>
      <c r="AF73" s="125"/>
      <c r="AG73" s="125"/>
      <c r="AH73" s="403"/>
      <c r="AI73" s="123"/>
    </row>
    <row r="74" spans="1:35" s="72" customFormat="1" x14ac:dyDescent="0.3">
      <c r="A74" s="68"/>
      <c r="B74" s="126"/>
      <c r="C74" s="76"/>
      <c r="D74" s="414"/>
      <c r="E74" s="65" t="s">
        <v>544</v>
      </c>
      <c r="F74" s="421"/>
      <c r="G74" s="73" t="s">
        <v>544</v>
      </c>
      <c r="H74" s="297"/>
      <c r="I74" s="297"/>
      <c r="J74" s="421"/>
      <c r="K74" s="73" t="s">
        <v>544</v>
      </c>
      <c r="L74" s="421"/>
      <c r="M74" s="73" t="s">
        <v>544</v>
      </c>
      <c r="N74" s="297"/>
      <c r="O74" s="297"/>
      <c r="P74" s="421"/>
      <c r="Q74" s="73" t="s">
        <v>544</v>
      </c>
      <c r="R74" s="414"/>
      <c r="S74" s="65" t="s">
        <v>544</v>
      </c>
      <c r="T74" s="63"/>
      <c r="U74" s="63"/>
      <c r="V74" s="414"/>
      <c r="W74" s="65" t="s">
        <v>544</v>
      </c>
      <c r="X74" s="421"/>
      <c r="Y74" s="73" t="s">
        <v>544</v>
      </c>
      <c r="Z74" s="297"/>
      <c r="AA74" s="297"/>
      <c r="AB74" s="421"/>
      <c r="AC74" s="73" t="s">
        <v>544</v>
      </c>
      <c r="AD74" s="414"/>
      <c r="AE74" s="63" t="s">
        <v>544</v>
      </c>
      <c r="AF74" s="63"/>
      <c r="AG74" s="63"/>
      <c r="AH74" s="414"/>
      <c r="AI74" s="65" t="s">
        <v>544</v>
      </c>
    </row>
    <row r="75" spans="1:35" x14ac:dyDescent="0.3">
      <c r="B75" s="118" t="s">
        <v>226</v>
      </c>
      <c r="C75" s="130"/>
      <c r="D75" s="407">
        <f>SUM(D76:D85)</f>
        <v>1474.5283333333336</v>
      </c>
      <c r="E75" s="119">
        <f>'Projection Setting'!$H7/D75</f>
        <v>18.749272366191668</v>
      </c>
      <c r="F75" s="433">
        <f t="array" ref="F75">SUMIF(F76:F85,"&gt;0")</f>
        <v>1445</v>
      </c>
      <c r="G75" s="127">
        <f>'Projection Setting'!$I$7/F75</f>
        <v>18.677162629757785</v>
      </c>
      <c r="H75" s="471"/>
      <c r="I75" s="471"/>
      <c r="J75" s="433">
        <f t="array" ref="J75">SUMIF(J76:J85,"&gt;0")</f>
        <v>1444</v>
      </c>
      <c r="K75" s="127">
        <f>J10/J75</f>
        <v>18.747922437673129</v>
      </c>
      <c r="L75" s="433">
        <f t="array" ref="L75">SUMIF(L76:L85,"&gt;0")</f>
        <v>1445</v>
      </c>
      <c r="M75" s="127">
        <f>'Projection Setting'!$I$7/L75</f>
        <v>18.677162629757785</v>
      </c>
      <c r="N75" s="471"/>
      <c r="O75" s="471"/>
      <c r="P75" s="433">
        <f t="array" ref="P75">SUMIF(P76:P85,"&gt;0")</f>
        <v>1414</v>
      </c>
      <c r="Q75" s="127">
        <f>P10/P75</f>
        <v>18.458274398868458</v>
      </c>
      <c r="R75" s="446">
        <f t="array" ref="R75">SUMIF(R76:R85,"&gt;0")</f>
        <v>1445</v>
      </c>
      <c r="S75" s="119">
        <f>'Projection Setting'!$I$7/R75</f>
        <v>18.677162629757785</v>
      </c>
      <c r="T75" s="477"/>
      <c r="U75" s="477"/>
      <c r="V75" s="446">
        <f t="array" ref="V75">SUMIF(V76:V85,"&gt;0")</f>
        <v>1385</v>
      </c>
      <c r="W75" s="119">
        <f>V10/V75</f>
        <v>18.142960288808663</v>
      </c>
      <c r="X75" s="433">
        <f t="array" ref="X75">SUMIF(X76:X85,"&gt;0")</f>
        <v>1445</v>
      </c>
      <c r="Y75" s="127">
        <f>'Projection Setting'!$I$7/X75</f>
        <v>18.677162629757785</v>
      </c>
      <c r="Z75" s="471"/>
      <c r="AA75" s="471"/>
      <c r="AB75" s="433">
        <f t="array" ref="AB75">SUMIF(AB76:AB85,"&gt;0")</f>
        <v>1323</v>
      </c>
      <c r="AC75" s="127">
        <f>AB10/AB75</f>
        <v>17.523809523809526</v>
      </c>
      <c r="AD75" s="446">
        <f t="array" ref="AD75">SUMIF(AD76:AD85,"&gt;0")</f>
        <v>1445</v>
      </c>
      <c r="AE75" s="119">
        <f>'Projection Setting'!$I$7/AD75</f>
        <v>18.677162629757785</v>
      </c>
      <c r="AF75" s="477"/>
      <c r="AG75" s="477"/>
      <c r="AH75" s="446">
        <f t="array" ref="AH75">SUMIF(AH76:AH85,"&gt;0")</f>
        <v>1200</v>
      </c>
      <c r="AI75" s="119">
        <f>AH10/AH75</f>
        <v>16.079999999999998</v>
      </c>
    </row>
    <row r="76" spans="1:35" outlineLevel="1" x14ac:dyDescent="0.3">
      <c r="B76" s="105" t="s">
        <v>502</v>
      </c>
      <c r="C76" s="294">
        <v>0</v>
      </c>
      <c r="D76" s="413">
        <v>120.84333333333332</v>
      </c>
      <c r="E76" s="129">
        <f>SUM('Projection Setting'!$H9)/D76</f>
        <v>18.827407386974873</v>
      </c>
      <c r="F76" s="348">
        <f>ROUND(SUM('Projection Setting'!$I9)/G76,0)</f>
        <v>116</v>
      </c>
      <c r="G76" s="127">
        <f t="shared" ref="G76:G85" si="56">$E76</f>
        <v>18.827407386974873</v>
      </c>
      <c r="H76" s="471"/>
      <c r="I76" s="471"/>
      <c r="J76" s="348">
        <f>ROUND(SUM(H12)/K76,0)</f>
        <v>111</v>
      </c>
      <c r="K76" s="127">
        <f t="shared" ref="K76:K85" si="57">$E76</f>
        <v>18.827407386974873</v>
      </c>
      <c r="L76" s="348">
        <f>ROUND(SUM('Projection Setting'!$I9)/M76,0)</f>
        <v>116</v>
      </c>
      <c r="M76" s="127">
        <f t="shared" ref="M76:M85" si="58">$E76</f>
        <v>18.827407386974873</v>
      </c>
      <c r="N76" s="471"/>
      <c r="O76" s="471"/>
      <c r="P76" s="348">
        <f>ROUND(SUM(N12)/Q76,0)</f>
        <v>111</v>
      </c>
      <c r="Q76" s="127">
        <f t="shared" ref="Q76:AI85" si="59">$E76</f>
        <v>18.827407386974873</v>
      </c>
      <c r="R76" s="403">
        <f>ROUND(SUM('Projection Setting'!$I9)/S76,0)</f>
        <v>116</v>
      </c>
      <c r="S76" s="129">
        <f t="shared" ref="S76:S85" si="60">$E76</f>
        <v>18.827407386974873</v>
      </c>
      <c r="T76" s="128"/>
      <c r="U76" s="128"/>
      <c r="V76" s="403">
        <f>ROUND(SUM(T12)/W76,0)</f>
        <v>110</v>
      </c>
      <c r="W76" s="129">
        <f t="shared" si="59"/>
        <v>18.827407386974873</v>
      </c>
      <c r="X76" s="348">
        <f>ROUND(SUM('Projection Setting'!$I9)/Y76,0)</f>
        <v>116</v>
      </c>
      <c r="Y76" s="127">
        <f t="shared" ref="Y76:Y85" si="61">$E76</f>
        <v>18.827407386974873</v>
      </c>
      <c r="Z76" s="471"/>
      <c r="AA76" s="471"/>
      <c r="AB76" s="348">
        <f>ROUND(SUM(Z12)/AC76,0)</f>
        <v>109</v>
      </c>
      <c r="AC76" s="127">
        <f t="shared" si="59"/>
        <v>18.827407386974873</v>
      </c>
      <c r="AD76" s="403">
        <f>ROUND(SUM('Projection Setting'!$I9)/AE76,0)</f>
        <v>116</v>
      </c>
      <c r="AE76" s="129">
        <f t="shared" ref="AE76:AE85" si="62">$E76</f>
        <v>18.827407386974873</v>
      </c>
      <c r="AF76" s="128"/>
      <c r="AG76" s="128"/>
      <c r="AH76" s="403">
        <f>ROUND(SUM(AF12)/AI76,0)</f>
        <v>106</v>
      </c>
      <c r="AI76" s="129">
        <f t="shared" si="59"/>
        <v>18.827407386974873</v>
      </c>
    </row>
    <row r="77" spans="1:35" outlineLevel="1" x14ac:dyDescent="0.3">
      <c r="B77" s="105" t="s">
        <v>503</v>
      </c>
      <c r="C77" s="294"/>
      <c r="D77" s="413">
        <v>369.21333333333331</v>
      </c>
      <c r="E77" s="129">
        <f>SUM('Projection Setting'!$H10:$H12)/D77</f>
        <v>19.200281679968221</v>
      </c>
      <c r="F77" s="348">
        <f>ROUND(SUM('Projection Setting'!$I10:$I12)/G77,0)</f>
        <v>369</v>
      </c>
      <c r="G77" s="127">
        <f t="shared" si="56"/>
        <v>19.200281679968221</v>
      </c>
      <c r="H77" s="471"/>
      <c r="I77" s="471"/>
      <c r="J77" s="348">
        <f>ROUND(SUM(H13:H15)/K77,0)</f>
        <v>359</v>
      </c>
      <c r="K77" s="127">
        <f t="shared" si="57"/>
        <v>19.200281679968221</v>
      </c>
      <c r="L77" s="348">
        <f>ROUND(SUM('Projection Setting'!$I10:$I12)/M77,0)</f>
        <v>369</v>
      </c>
      <c r="M77" s="127">
        <f t="shared" si="58"/>
        <v>19.200281679968221</v>
      </c>
      <c r="N77" s="471"/>
      <c r="O77" s="471"/>
      <c r="P77" s="348">
        <f>ROUND(SUM(N13:N15)/Q77,0)</f>
        <v>352</v>
      </c>
      <c r="Q77" s="127">
        <f t="shared" si="59"/>
        <v>19.200281679968221</v>
      </c>
      <c r="R77" s="403">
        <f>ROUND(SUM('Projection Setting'!$I10:$I12)/S77,0)</f>
        <v>369</v>
      </c>
      <c r="S77" s="129">
        <f t="shared" si="60"/>
        <v>19.200281679968221</v>
      </c>
      <c r="T77" s="128"/>
      <c r="U77" s="128"/>
      <c r="V77" s="403">
        <f>ROUND(SUM(T13:T15)/W77,0)</f>
        <v>346</v>
      </c>
      <c r="W77" s="129">
        <f t="shared" si="59"/>
        <v>19.200281679968221</v>
      </c>
      <c r="X77" s="348">
        <f>ROUND(SUM('Projection Setting'!$I10:$I12)/Y77,0)</f>
        <v>369</v>
      </c>
      <c r="Y77" s="127">
        <f t="shared" si="61"/>
        <v>19.200281679968221</v>
      </c>
      <c r="Z77" s="471"/>
      <c r="AA77" s="471"/>
      <c r="AB77" s="348">
        <f>ROUND(SUM(Z13:Z15)/AC77,0)</f>
        <v>333</v>
      </c>
      <c r="AC77" s="127">
        <f t="shared" si="59"/>
        <v>19.200281679968221</v>
      </c>
      <c r="AD77" s="403">
        <f>ROUND(SUM('Projection Setting'!$I10:$I12)/AE77,0)</f>
        <v>369</v>
      </c>
      <c r="AE77" s="129">
        <f t="shared" si="62"/>
        <v>19.200281679968221</v>
      </c>
      <c r="AF77" s="128"/>
      <c r="AG77" s="128"/>
      <c r="AH77" s="403">
        <f>ROUND(SUM(AF13:AF15)/AI77,0)</f>
        <v>306</v>
      </c>
      <c r="AI77" s="129">
        <f t="shared" si="59"/>
        <v>19.200281679968221</v>
      </c>
    </row>
    <row r="78" spans="1:35" outlineLevel="1" x14ac:dyDescent="0.3">
      <c r="B78" s="105" t="s">
        <v>504</v>
      </c>
      <c r="C78" s="294"/>
      <c r="D78" s="413">
        <v>300.66833333333335</v>
      </c>
      <c r="E78" s="129">
        <f>SUM('Projection Setting'!$H13:$H15)/D78</f>
        <v>21.002655195924632</v>
      </c>
      <c r="F78" s="348">
        <f>ROUND(SUM('Projection Setting'!$I13:$I15)/G78,0)</f>
        <v>294</v>
      </c>
      <c r="G78" s="127">
        <f t="shared" si="56"/>
        <v>21.002655195924632</v>
      </c>
      <c r="H78" s="471"/>
      <c r="I78" s="471"/>
      <c r="J78" s="348">
        <f>ROUND(SUM(H16:H18)/K78,0)</f>
        <v>314</v>
      </c>
      <c r="K78" s="127">
        <f t="shared" si="57"/>
        <v>21.002655195924632</v>
      </c>
      <c r="L78" s="348">
        <f>ROUND(SUM('Projection Setting'!$I13:$I15)/M78,0)</f>
        <v>294</v>
      </c>
      <c r="M78" s="127">
        <f t="shared" si="58"/>
        <v>21.002655195924632</v>
      </c>
      <c r="N78" s="471"/>
      <c r="O78" s="471"/>
      <c r="P78" s="348">
        <f>ROUND(SUM(N16:N18)/Q78,0)</f>
        <v>307</v>
      </c>
      <c r="Q78" s="127">
        <f t="shared" si="59"/>
        <v>21.002655195924632</v>
      </c>
      <c r="R78" s="403">
        <f>ROUND(SUM('Projection Setting'!$I13:$I15)/S78,0)</f>
        <v>294</v>
      </c>
      <c r="S78" s="129">
        <f t="shared" si="60"/>
        <v>21.002655195924632</v>
      </c>
      <c r="T78" s="128"/>
      <c r="U78" s="128"/>
      <c r="V78" s="403">
        <f>ROUND(SUM(T16:T18)/W78,0)</f>
        <v>299</v>
      </c>
      <c r="W78" s="129">
        <f t="shared" si="59"/>
        <v>21.002655195924632</v>
      </c>
      <c r="X78" s="348">
        <f>ROUND(SUM('Projection Setting'!$I13:$I15)/Y78,0)</f>
        <v>294</v>
      </c>
      <c r="Y78" s="127">
        <f t="shared" si="61"/>
        <v>21.002655195924632</v>
      </c>
      <c r="Z78" s="471"/>
      <c r="AA78" s="471"/>
      <c r="AB78" s="348">
        <f>ROUND(SUM(Z16:Z18)/AC78,0)</f>
        <v>285</v>
      </c>
      <c r="AC78" s="127">
        <f t="shared" si="59"/>
        <v>21.002655195924632</v>
      </c>
      <c r="AD78" s="403">
        <f>ROUND(SUM('Projection Setting'!$I13:$I15)/AE78,0)</f>
        <v>294</v>
      </c>
      <c r="AE78" s="129">
        <f t="shared" si="62"/>
        <v>21.002655195924632</v>
      </c>
      <c r="AF78" s="128"/>
      <c r="AG78" s="128"/>
      <c r="AH78" s="403">
        <f>ROUND(SUM(AF16:AF18)/AI78,0)</f>
        <v>255</v>
      </c>
      <c r="AI78" s="129">
        <f t="shared" si="59"/>
        <v>21.002655195924632</v>
      </c>
    </row>
    <row r="79" spans="1:35" outlineLevel="1" x14ac:dyDescent="0.3">
      <c r="B79" s="105" t="s">
        <v>505</v>
      </c>
      <c r="C79" s="294"/>
      <c r="D79" s="413">
        <v>243.13666666666668</v>
      </c>
      <c r="E79" s="129">
        <f>SUM('Projection Setting'!$H16:$H18)/D79</f>
        <v>24.809092280061964</v>
      </c>
      <c r="F79" s="348">
        <f>ROUND(SUM('Projection Setting'!$I16:$I18)/G79,0)</f>
        <v>235</v>
      </c>
      <c r="G79" s="127">
        <f t="shared" si="56"/>
        <v>24.809092280061964</v>
      </c>
      <c r="H79" s="471"/>
      <c r="I79" s="471"/>
      <c r="J79" s="348">
        <f>ROUND(SUM(H19:H21)/K79,0)</f>
        <v>240</v>
      </c>
      <c r="K79" s="127">
        <f t="shared" si="57"/>
        <v>24.809092280061964</v>
      </c>
      <c r="L79" s="348">
        <f>ROUND(SUM('Projection Setting'!$I16:$I18)/M79,0)</f>
        <v>235</v>
      </c>
      <c r="M79" s="127">
        <f t="shared" si="58"/>
        <v>24.809092280061964</v>
      </c>
      <c r="N79" s="471"/>
      <c r="O79" s="471"/>
      <c r="P79" s="348">
        <f>ROUND(SUM(N19:N21)/Q79,0)</f>
        <v>234</v>
      </c>
      <c r="Q79" s="127">
        <f t="shared" si="59"/>
        <v>24.809092280061964</v>
      </c>
      <c r="R79" s="403">
        <f>ROUND(SUM('Projection Setting'!$I16:$I18)/S79,0)</f>
        <v>235</v>
      </c>
      <c r="S79" s="129">
        <f t="shared" si="60"/>
        <v>24.809092280061964</v>
      </c>
      <c r="T79" s="128"/>
      <c r="U79" s="128"/>
      <c r="V79" s="403">
        <f>ROUND(SUM(T19:T21)/W79,0)</f>
        <v>228</v>
      </c>
      <c r="W79" s="129">
        <f t="shared" si="59"/>
        <v>24.809092280061964</v>
      </c>
      <c r="X79" s="348">
        <f>ROUND(SUM('Projection Setting'!$I16:$I18)/Y79,0)</f>
        <v>235</v>
      </c>
      <c r="Y79" s="127">
        <f t="shared" si="61"/>
        <v>24.809092280061964</v>
      </c>
      <c r="Z79" s="471"/>
      <c r="AA79" s="471"/>
      <c r="AB79" s="348">
        <f>ROUND(SUM(Z19:Z21)/AC79,0)</f>
        <v>215</v>
      </c>
      <c r="AC79" s="127">
        <f t="shared" si="59"/>
        <v>24.809092280061964</v>
      </c>
      <c r="AD79" s="403">
        <f>ROUND(SUM('Projection Setting'!$I16:$I18)/AE79,0)</f>
        <v>235</v>
      </c>
      <c r="AE79" s="129">
        <f t="shared" si="62"/>
        <v>24.809092280061964</v>
      </c>
      <c r="AF79" s="128"/>
      <c r="AG79" s="128"/>
      <c r="AH79" s="403">
        <f>ROUND(SUM(AF19:AF21)/AI79,0)</f>
        <v>190</v>
      </c>
      <c r="AI79" s="129">
        <f t="shared" si="59"/>
        <v>24.809092280061964</v>
      </c>
    </row>
    <row r="80" spans="1:35" outlineLevel="1" x14ac:dyDescent="0.3">
      <c r="B80" s="105" t="s">
        <v>506</v>
      </c>
      <c r="C80" s="294"/>
      <c r="D80" s="413">
        <v>241.99166666666667</v>
      </c>
      <c r="E80" s="129">
        <f>SUM('Projection Setting'!$H19:$H21)/D80</f>
        <v>24.527015393092046</v>
      </c>
      <c r="F80" s="348">
        <f>ROUND(SUM('Projection Setting'!$I19:$I21)/G80,0)</f>
        <v>234</v>
      </c>
      <c r="G80" s="127">
        <f t="shared" si="56"/>
        <v>24.527015393092046</v>
      </c>
      <c r="H80" s="471"/>
      <c r="I80" s="471"/>
      <c r="J80" s="348">
        <f>ROUND(SUM(H22:H24)/K80,0)</f>
        <v>226</v>
      </c>
      <c r="K80" s="127">
        <f t="shared" si="57"/>
        <v>24.527015393092046</v>
      </c>
      <c r="L80" s="348">
        <f>ROUND(SUM('Projection Setting'!$I19:$I21)/M80,0)</f>
        <v>234</v>
      </c>
      <c r="M80" s="127">
        <f t="shared" si="58"/>
        <v>24.527015393092046</v>
      </c>
      <c r="N80" s="471"/>
      <c r="O80" s="471"/>
      <c r="P80" s="348">
        <f>ROUND(SUM(N22:N24)/Q80,0)</f>
        <v>220</v>
      </c>
      <c r="Q80" s="127">
        <f t="shared" si="59"/>
        <v>24.527015393092046</v>
      </c>
      <c r="R80" s="403">
        <f>ROUND(SUM('Projection Setting'!$I19:$I21)/S80,0)</f>
        <v>234</v>
      </c>
      <c r="S80" s="129">
        <f t="shared" si="60"/>
        <v>24.527015393092046</v>
      </c>
      <c r="T80" s="128"/>
      <c r="U80" s="128"/>
      <c r="V80" s="403">
        <f>ROUND(SUM(T22:T24)/W80,0)</f>
        <v>215</v>
      </c>
      <c r="W80" s="129">
        <f t="shared" si="59"/>
        <v>24.527015393092046</v>
      </c>
      <c r="X80" s="348">
        <f>ROUND(SUM('Projection Setting'!$I19:$I21)/Y80,0)</f>
        <v>234</v>
      </c>
      <c r="Y80" s="127">
        <f t="shared" si="61"/>
        <v>24.527015393092046</v>
      </c>
      <c r="Z80" s="471"/>
      <c r="AA80" s="471"/>
      <c r="AB80" s="348">
        <f>ROUND(SUM(Z22:Z24)/AC80,0)</f>
        <v>204</v>
      </c>
      <c r="AC80" s="127">
        <f t="shared" si="59"/>
        <v>24.527015393092046</v>
      </c>
      <c r="AD80" s="403">
        <f>ROUND(SUM('Projection Setting'!$I19:$I21)/AE80,0)</f>
        <v>234</v>
      </c>
      <c r="AE80" s="129">
        <f t="shared" si="62"/>
        <v>24.527015393092046</v>
      </c>
      <c r="AF80" s="128"/>
      <c r="AG80" s="128"/>
      <c r="AH80" s="403">
        <f>ROUND(SUM(AF22:AF24)/AI80,0)</f>
        <v>182</v>
      </c>
      <c r="AI80" s="129">
        <f t="shared" si="59"/>
        <v>24.527015393092046</v>
      </c>
    </row>
    <row r="81" spans="1:35" outlineLevel="1" x14ac:dyDescent="0.3">
      <c r="B81" s="105" t="s">
        <v>399</v>
      </c>
      <c r="C81" s="294"/>
      <c r="D81" s="413">
        <v>112.05833333333334</v>
      </c>
      <c r="E81" s="129">
        <f>'Cost Drivers'!$B24/D81</f>
        <v>36.097270766713763</v>
      </c>
      <c r="F81" s="348">
        <f>ROUND('Cost Drivers'!$B24/G81,0)</f>
        <v>112</v>
      </c>
      <c r="G81" s="127">
        <f t="shared" si="56"/>
        <v>36.097270766713763</v>
      </c>
      <c r="H81" s="471"/>
      <c r="I81" s="471"/>
      <c r="J81" s="348">
        <f>ROUND(H27/K81,0)</f>
        <v>110</v>
      </c>
      <c r="K81" s="127">
        <f t="shared" si="57"/>
        <v>36.097270766713763</v>
      </c>
      <c r="L81" s="348">
        <f>ROUND('Cost Drivers'!$B24/M81,0)</f>
        <v>112</v>
      </c>
      <c r="M81" s="127">
        <f t="shared" si="58"/>
        <v>36.097270766713763</v>
      </c>
      <c r="N81" s="471"/>
      <c r="O81" s="471"/>
      <c r="P81" s="348">
        <f>ROUND(N27/Q81,0)</f>
        <v>107</v>
      </c>
      <c r="Q81" s="127">
        <f t="shared" si="59"/>
        <v>36.097270766713763</v>
      </c>
      <c r="R81" s="403">
        <f>ROUND('Cost Drivers'!$B24/S81,0)</f>
        <v>112</v>
      </c>
      <c r="S81" s="129">
        <f t="shared" si="60"/>
        <v>36.097270766713763</v>
      </c>
      <c r="T81" s="128"/>
      <c r="U81" s="128"/>
      <c r="V81" s="403">
        <f>ROUND(T27/W81,0)</f>
        <v>104</v>
      </c>
      <c r="W81" s="129">
        <f t="shared" si="59"/>
        <v>36.097270766713763</v>
      </c>
      <c r="X81" s="348">
        <f>ROUND('Cost Drivers'!$B24/Y81,0)</f>
        <v>112</v>
      </c>
      <c r="Y81" s="127">
        <f t="shared" si="61"/>
        <v>36.097270766713763</v>
      </c>
      <c r="Z81" s="471"/>
      <c r="AA81" s="471"/>
      <c r="AB81" s="348">
        <f>ROUND(Z27/AC81,0)</f>
        <v>99</v>
      </c>
      <c r="AC81" s="127">
        <f t="shared" si="59"/>
        <v>36.097270766713763</v>
      </c>
      <c r="AD81" s="403">
        <f>ROUND('Cost Drivers'!$B24/AE81,0)</f>
        <v>112</v>
      </c>
      <c r="AE81" s="129">
        <f t="shared" si="62"/>
        <v>36.097270766713763</v>
      </c>
      <c r="AF81" s="128"/>
      <c r="AG81" s="128"/>
      <c r="AH81" s="403">
        <f>ROUND(AF27/AI81,0)</f>
        <v>88</v>
      </c>
      <c r="AI81" s="129">
        <f t="shared" si="59"/>
        <v>36.097270766713763</v>
      </c>
    </row>
    <row r="82" spans="1:35" outlineLevel="1" x14ac:dyDescent="0.3">
      <c r="B82" s="105" t="s">
        <v>400</v>
      </c>
      <c r="C82" s="294"/>
      <c r="D82" s="413">
        <v>23.7</v>
      </c>
      <c r="E82" s="129">
        <f>'Cost Drivers'!$B25/D82</f>
        <v>111.05485232067511</v>
      </c>
      <c r="F82" s="348">
        <f>ROUND('Cost Drivers'!$B25/G82,0)</f>
        <v>24</v>
      </c>
      <c r="G82" s="127">
        <f t="shared" si="56"/>
        <v>111.05485232067511</v>
      </c>
      <c r="H82" s="471"/>
      <c r="I82" s="471"/>
      <c r="J82" s="348">
        <f>ROUND(H31/K82,0)</f>
        <v>23</v>
      </c>
      <c r="K82" s="127">
        <f t="shared" si="57"/>
        <v>111.05485232067511</v>
      </c>
      <c r="L82" s="348">
        <f>ROUND('Cost Drivers'!$B25/M82,0)</f>
        <v>24</v>
      </c>
      <c r="M82" s="127">
        <f t="shared" si="58"/>
        <v>111.05485232067511</v>
      </c>
      <c r="N82" s="471"/>
      <c r="O82" s="471"/>
      <c r="P82" s="348">
        <f>ROUND(N31/Q82,0)</f>
        <v>23</v>
      </c>
      <c r="Q82" s="127">
        <f t="shared" si="59"/>
        <v>111.05485232067511</v>
      </c>
      <c r="R82" s="403">
        <f>ROUND('Cost Drivers'!$B25/S82,0)</f>
        <v>24</v>
      </c>
      <c r="S82" s="129">
        <f t="shared" si="60"/>
        <v>111.05485232067511</v>
      </c>
      <c r="T82" s="128"/>
      <c r="U82" s="128"/>
      <c r="V82" s="403">
        <f>ROUND(T31/W82,0)</f>
        <v>23</v>
      </c>
      <c r="W82" s="129">
        <f t="shared" si="59"/>
        <v>111.05485232067511</v>
      </c>
      <c r="X82" s="348">
        <f>ROUND('Cost Drivers'!$B25/Y82,0)</f>
        <v>24</v>
      </c>
      <c r="Y82" s="127">
        <f t="shared" si="61"/>
        <v>111.05485232067511</v>
      </c>
      <c r="Z82" s="471"/>
      <c r="AA82" s="471"/>
      <c r="AB82" s="348">
        <f>ROUND(Z31/AC82,0)</f>
        <v>22</v>
      </c>
      <c r="AC82" s="127">
        <f t="shared" si="59"/>
        <v>111.05485232067511</v>
      </c>
      <c r="AD82" s="403">
        <f>ROUND('Cost Drivers'!$B25/AE82,0)</f>
        <v>24</v>
      </c>
      <c r="AE82" s="129">
        <f t="shared" si="62"/>
        <v>111.05485232067511</v>
      </c>
      <c r="AF82" s="128"/>
      <c r="AG82" s="128"/>
      <c r="AH82" s="403">
        <f>ROUND(AF31/AI82,0)</f>
        <v>22</v>
      </c>
      <c r="AI82" s="129">
        <f t="shared" si="59"/>
        <v>111.05485232067511</v>
      </c>
    </row>
    <row r="83" spans="1:35" outlineLevel="1" x14ac:dyDescent="0.3">
      <c r="B83" s="105" t="s">
        <v>508</v>
      </c>
      <c r="C83" s="294"/>
      <c r="D83" s="413">
        <v>21.891666666666666</v>
      </c>
      <c r="E83" s="119">
        <f>'Projection Setting'!$H$7/D83</f>
        <v>1262.8701941377997</v>
      </c>
      <c r="F83" s="348">
        <f>ROUND('Projection Setting'!$I$7/G83,0)</f>
        <v>21</v>
      </c>
      <c r="G83" s="127">
        <f t="shared" si="56"/>
        <v>1262.8701941377997</v>
      </c>
      <c r="H83" s="471"/>
      <c r="I83" s="471"/>
      <c r="J83" s="348">
        <f>ROUND(H10/K83,0)</f>
        <v>21</v>
      </c>
      <c r="K83" s="127">
        <f t="shared" si="57"/>
        <v>1262.8701941377997</v>
      </c>
      <c r="L83" s="348">
        <f>ROUND('Projection Setting'!$I$7/M83,0)</f>
        <v>21</v>
      </c>
      <c r="M83" s="127">
        <f t="shared" si="58"/>
        <v>1262.8701941377997</v>
      </c>
      <c r="N83" s="471"/>
      <c r="O83" s="471"/>
      <c r="P83" s="348">
        <f>ROUND(N10/Q83,0)</f>
        <v>21</v>
      </c>
      <c r="Q83" s="127">
        <f t="shared" si="59"/>
        <v>1262.8701941377997</v>
      </c>
      <c r="R83" s="403">
        <f>ROUND('Projection Setting'!$I$7/S83,0)</f>
        <v>21</v>
      </c>
      <c r="S83" s="129">
        <f t="shared" si="60"/>
        <v>1262.8701941377997</v>
      </c>
      <c r="T83" s="128"/>
      <c r="U83" s="128"/>
      <c r="V83" s="403">
        <f>ROUND(T10/W83,0)</f>
        <v>21</v>
      </c>
      <c r="W83" s="129">
        <f t="shared" si="59"/>
        <v>1262.8701941377997</v>
      </c>
      <c r="X83" s="348">
        <f>ROUND('Projection Setting'!$I$7/Y83,0)</f>
        <v>21</v>
      </c>
      <c r="Y83" s="127">
        <f t="shared" si="61"/>
        <v>1262.8701941377997</v>
      </c>
      <c r="Z83" s="471"/>
      <c r="AA83" s="471"/>
      <c r="AB83" s="348">
        <f>ROUND(Z10/AC83,0)</f>
        <v>20</v>
      </c>
      <c r="AC83" s="127">
        <f t="shared" si="59"/>
        <v>1262.8701941377997</v>
      </c>
      <c r="AD83" s="403">
        <f>ROUND('Projection Setting'!$I$7/AE83,0)</f>
        <v>21</v>
      </c>
      <c r="AE83" s="129">
        <f t="shared" si="62"/>
        <v>1262.8701941377997</v>
      </c>
      <c r="AF83" s="128"/>
      <c r="AG83" s="128"/>
      <c r="AH83" s="403">
        <f>ROUND(AF10/AI83,0)</f>
        <v>18</v>
      </c>
      <c r="AI83" s="129">
        <f t="shared" si="59"/>
        <v>1262.8701941377997</v>
      </c>
    </row>
    <row r="84" spans="1:35" outlineLevel="1" x14ac:dyDescent="0.3">
      <c r="B84" s="105" t="s">
        <v>507</v>
      </c>
      <c r="C84" s="294"/>
      <c r="D84" s="413">
        <v>11.608333333333334</v>
      </c>
      <c r="E84" s="119">
        <f>'Projection Setting'!$H$7/D84</f>
        <v>2381.5936826992101</v>
      </c>
      <c r="F84" s="348">
        <f>ROUND('Projection Setting'!$I$7/G84,0)</f>
        <v>11</v>
      </c>
      <c r="G84" s="127">
        <f t="shared" si="56"/>
        <v>2381.5936826992101</v>
      </c>
      <c r="H84" s="471"/>
      <c r="I84" s="471"/>
      <c r="J84" s="348">
        <f>ROUND(H10/K84,0)</f>
        <v>11</v>
      </c>
      <c r="K84" s="127">
        <f t="shared" si="57"/>
        <v>2381.5936826992101</v>
      </c>
      <c r="L84" s="348">
        <f>ROUND('Projection Setting'!$I$7/M84,0)</f>
        <v>11</v>
      </c>
      <c r="M84" s="127">
        <f t="shared" si="58"/>
        <v>2381.5936826992101</v>
      </c>
      <c r="N84" s="471"/>
      <c r="O84" s="471"/>
      <c r="P84" s="348">
        <f>ROUND(N10/Q84,0)</f>
        <v>11</v>
      </c>
      <c r="Q84" s="127">
        <f t="shared" si="59"/>
        <v>2381.5936826992101</v>
      </c>
      <c r="R84" s="403">
        <f>ROUND('Projection Setting'!$I$7/S84,0)</f>
        <v>11</v>
      </c>
      <c r="S84" s="129">
        <f t="shared" si="60"/>
        <v>2381.5936826992101</v>
      </c>
      <c r="T84" s="128"/>
      <c r="U84" s="128"/>
      <c r="V84" s="403">
        <f>ROUND(T10/W84,0)</f>
        <v>11</v>
      </c>
      <c r="W84" s="129">
        <f t="shared" si="59"/>
        <v>2381.5936826992101</v>
      </c>
      <c r="X84" s="348">
        <f>ROUND('Projection Setting'!$I$7/Y84,0)</f>
        <v>11</v>
      </c>
      <c r="Y84" s="127">
        <f t="shared" si="61"/>
        <v>2381.5936826992101</v>
      </c>
      <c r="Z84" s="471"/>
      <c r="AA84" s="471"/>
      <c r="AB84" s="348">
        <f>ROUND(Z10/AC84,0)</f>
        <v>10</v>
      </c>
      <c r="AC84" s="127">
        <f t="shared" si="59"/>
        <v>2381.5936826992101</v>
      </c>
      <c r="AD84" s="403">
        <f>ROUND('Projection Setting'!$I$7/AE84,0)</f>
        <v>11</v>
      </c>
      <c r="AE84" s="129">
        <f t="shared" si="62"/>
        <v>2381.5936826992101</v>
      </c>
      <c r="AF84" s="128"/>
      <c r="AG84" s="128"/>
      <c r="AH84" s="403">
        <f>ROUND(AF10/AI84,0)</f>
        <v>9</v>
      </c>
      <c r="AI84" s="129">
        <f t="shared" si="59"/>
        <v>2381.5936826992101</v>
      </c>
    </row>
    <row r="85" spans="1:35" outlineLevel="1" x14ac:dyDescent="0.3">
      <c r="B85" s="105" t="s">
        <v>184</v>
      </c>
      <c r="C85" s="294"/>
      <c r="D85" s="413">
        <v>29.416666666666668</v>
      </c>
      <c r="E85" s="119">
        <f>'Projection Setting'!$H$7/D85</f>
        <v>939.81869688385257</v>
      </c>
      <c r="F85" s="348">
        <f>ROUND('Projection Setting'!$I$7/G85,0)</f>
        <v>29</v>
      </c>
      <c r="G85" s="127">
        <f t="shared" si="56"/>
        <v>939.81869688385257</v>
      </c>
      <c r="H85" s="471"/>
      <c r="I85" s="471"/>
      <c r="J85" s="348">
        <f>ROUND(H10/K85,0)</f>
        <v>29</v>
      </c>
      <c r="K85" s="127">
        <f t="shared" si="57"/>
        <v>939.81869688385257</v>
      </c>
      <c r="L85" s="348">
        <f>ROUND('Projection Setting'!$I$7/M85,0)</f>
        <v>29</v>
      </c>
      <c r="M85" s="127">
        <f t="shared" si="58"/>
        <v>939.81869688385257</v>
      </c>
      <c r="N85" s="471"/>
      <c r="O85" s="471"/>
      <c r="P85" s="348">
        <f>ROUND(N10/Q85,0)</f>
        <v>28</v>
      </c>
      <c r="Q85" s="127">
        <f t="shared" si="59"/>
        <v>939.81869688385257</v>
      </c>
      <c r="R85" s="403">
        <f>ROUND('Projection Setting'!$I$7/S85,0)</f>
        <v>29</v>
      </c>
      <c r="S85" s="129">
        <f t="shared" si="60"/>
        <v>939.81869688385257</v>
      </c>
      <c r="T85" s="128"/>
      <c r="U85" s="128"/>
      <c r="V85" s="403">
        <f>ROUND(T10/W85,0)</f>
        <v>28</v>
      </c>
      <c r="W85" s="129">
        <f t="shared" si="59"/>
        <v>939.81869688385257</v>
      </c>
      <c r="X85" s="348">
        <f>ROUND('Projection Setting'!$I$7/Y85,0)</f>
        <v>29</v>
      </c>
      <c r="Y85" s="127">
        <f t="shared" si="61"/>
        <v>939.81869688385257</v>
      </c>
      <c r="Z85" s="471"/>
      <c r="AA85" s="471"/>
      <c r="AB85" s="348">
        <f>ROUND(Z10/AC85,0)</f>
        <v>26</v>
      </c>
      <c r="AC85" s="127">
        <f t="shared" si="59"/>
        <v>939.81869688385257</v>
      </c>
      <c r="AD85" s="403">
        <f>ROUND('Projection Setting'!$I$7/AE85,0)</f>
        <v>29</v>
      </c>
      <c r="AE85" s="129">
        <f t="shared" si="62"/>
        <v>939.81869688385257</v>
      </c>
      <c r="AF85" s="128"/>
      <c r="AG85" s="128"/>
      <c r="AH85" s="403">
        <f>ROUND(AF10/AI85,0)</f>
        <v>24</v>
      </c>
      <c r="AI85" s="129">
        <f t="shared" si="59"/>
        <v>939.81869688385257</v>
      </c>
    </row>
    <row r="86" spans="1:35" outlineLevel="1" x14ac:dyDescent="0.3">
      <c r="B86" s="105"/>
      <c r="C86" s="294"/>
      <c r="D86" s="408"/>
      <c r="E86" s="129"/>
      <c r="F86" s="348"/>
      <c r="G86" s="127"/>
      <c r="H86" s="471"/>
      <c r="I86" s="471"/>
      <c r="J86" s="348"/>
      <c r="K86" s="127"/>
      <c r="L86" s="348"/>
      <c r="M86" s="127"/>
      <c r="N86" s="471"/>
      <c r="O86" s="471"/>
      <c r="P86" s="348"/>
      <c r="Q86" s="127"/>
      <c r="R86" s="403"/>
      <c r="S86" s="129"/>
      <c r="T86" s="128"/>
      <c r="U86" s="128"/>
      <c r="V86" s="403"/>
      <c r="W86" s="129"/>
      <c r="X86" s="348"/>
      <c r="Y86" s="127"/>
      <c r="Z86" s="471"/>
      <c r="AA86" s="471"/>
      <c r="AB86" s="348"/>
      <c r="AC86" s="127"/>
      <c r="AD86" s="403"/>
      <c r="AE86" s="128"/>
      <c r="AF86" s="128"/>
      <c r="AG86" s="128"/>
      <c r="AH86" s="403"/>
      <c r="AI86" s="129"/>
    </row>
    <row r="87" spans="1:35" s="72" customFormat="1" x14ac:dyDescent="0.3">
      <c r="A87" s="68"/>
      <c r="B87" s="126"/>
      <c r="C87" s="76"/>
      <c r="D87" s="414"/>
      <c r="E87" s="65" t="s">
        <v>303</v>
      </c>
      <c r="F87" s="421"/>
      <c r="G87" s="73" t="s">
        <v>303</v>
      </c>
      <c r="H87" s="297"/>
      <c r="I87" s="297"/>
      <c r="J87" s="421"/>
      <c r="K87" s="73" t="s">
        <v>303</v>
      </c>
      <c r="L87" s="421"/>
      <c r="M87" s="73" t="s">
        <v>303</v>
      </c>
      <c r="N87" s="297"/>
      <c r="O87" s="297"/>
      <c r="P87" s="421"/>
      <c r="Q87" s="73" t="s">
        <v>303</v>
      </c>
      <c r="R87" s="414"/>
      <c r="S87" s="65" t="s">
        <v>303</v>
      </c>
      <c r="T87" s="63"/>
      <c r="U87" s="63"/>
      <c r="V87" s="414"/>
      <c r="W87" s="65" t="s">
        <v>303</v>
      </c>
      <c r="X87" s="421"/>
      <c r="Y87" s="73" t="s">
        <v>303</v>
      </c>
      <c r="Z87" s="297"/>
      <c r="AA87" s="297"/>
      <c r="AB87" s="421"/>
      <c r="AC87" s="73" t="s">
        <v>303</v>
      </c>
      <c r="AD87" s="414"/>
      <c r="AE87" s="63" t="s">
        <v>303</v>
      </c>
      <c r="AF87" s="63"/>
      <c r="AG87" s="63"/>
      <c r="AH87" s="414"/>
      <c r="AI87" s="65" t="s">
        <v>303</v>
      </c>
    </row>
    <row r="88" spans="1:35" x14ac:dyDescent="0.3">
      <c r="A88" s="137" t="s">
        <v>283</v>
      </c>
      <c r="B88" s="118" t="s">
        <v>227</v>
      </c>
      <c r="C88" s="130"/>
      <c r="D88" s="407">
        <f>SUM(D89:D94)</f>
        <v>1389.2633333333333</v>
      </c>
      <c r="E88" s="129">
        <f>D$10/D88</f>
        <v>19.486346480988729</v>
      </c>
      <c r="F88" s="435">
        <f>SUM(F89:F94)</f>
        <v>1389.2633333333333</v>
      </c>
      <c r="G88" s="127">
        <f>F$10/F88</f>
        <v>19.486586416302163</v>
      </c>
      <c r="H88" s="471"/>
      <c r="I88" s="471"/>
      <c r="J88" s="435">
        <f>SUM(J89:J94)</f>
        <v>1389.2633333333333</v>
      </c>
      <c r="K88" s="127">
        <f>J$10/J88</f>
        <v>19.486586416302163</v>
      </c>
      <c r="L88" s="435">
        <f>SUM(L89:L94)</f>
        <v>1384.0929662008248</v>
      </c>
      <c r="M88" s="127">
        <f>L$10/L88</f>
        <v>19.418493306684635</v>
      </c>
      <c r="N88" s="471"/>
      <c r="O88" s="471"/>
      <c r="P88" s="435">
        <f>SUM(P89:P94)</f>
        <v>1338.9731896358048</v>
      </c>
      <c r="Q88" s="127">
        <f>P$10/P88</f>
        <v>19.492548620110231</v>
      </c>
      <c r="R88" s="446">
        <f>SUM(R89:R94)</f>
        <v>1368.3631271667505</v>
      </c>
      <c r="S88" s="129">
        <f>R$10/R88</f>
        <v>19.49994081998409</v>
      </c>
      <c r="T88" s="128"/>
      <c r="U88" s="128"/>
      <c r="V88" s="446">
        <f>SUM(V89:V94)</f>
        <v>1287.6403949872993</v>
      </c>
      <c r="W88" s="129">
        <f>V$10/V88</f>
        <v>19.514765223133477</v>
      </c>
      <c r="X88" s="435">
        <f>SUM(X89:X94)</f>
        <v>1347.4202700491899</v>
      </c>
      <c r="Y88" s="127">
        <f>X$10/X88</f>
        <v>19.514327180961953</v>
      </c>
      <c r="Z88" s="471"/>
      <c r="AA88" s="471"/>
      <c r="AB88" s="435">
        <f>SUM(AB89:AB94)</f>
        <v>1188.9748056902874</v>
      </c>
      <c r="AC88" s="127">
        <f>AB$10/AB88</f>
        <v>19.499151612838407</v>
      </c>
      <c r="AD88" s="446">
        <f>SUM(AD89:AD94)</f>
        <v>1307.5832521048596</v>
      </c>
      <c r="AE88" s="128">
        <f>AD$10/AD88</f>
        <v>19.514627431121077</v>
      </c>
      <c r="AF88" s="128"/>
      <c r="AG88" s="128"/>
      <c r="AH88" s="446">
        <f>SUM(AH89:AH94)</f>
        <v>989.64362709626403</v>
      </c>
      <c r="AI88" s="129">
        <f>AH$10/AH88</f>
        <v>19.497927811263569</v>
      </c>
    </row>
    <row r="89" spans="1:35" outlineLevel="1" x14ac:dyDescent="0.3">
      <c r="B89" s="105" t="s">
        <v>519</v>
      </c>
      <c r="C89" s="294"/>
      <c r="D89" s="413">
        <v>63.93</v>
      </c>
      <c r="E89" s="129">
        <f t="shared" ref="E89:E91" si="63">D$10/D89</f>
        <v>423.45794879816475</v>
      </c>
      <c r="F89" s="434">
        <f t="array" ref="F89:F94">$D89:$D94</f>
        <v>63.93</v>
      </c>
      <c r="G89" s="127">
        <f t="shared" ref="G89:G94" si="64">F$10/F89</f>
        <v>423.4631628343501</v>
      </c>
      <c r="H89" s="471"/>
      <c r="I89" s="471"/>
      <c r="J89" s="434">
        <f t="array" ref="J89:J94">$D89:$D94</f>
        <v>63.93</v>
      </c>
      <c r="K89" s="127">
        <f t="shared" ref="K89:K94" si="65">J$10/J89</f>
        <v>423.4631628343501</v>
      </c>
      <c r="L89" s="434">
        <v>64</v>
      </c>
      <c r="M89" s="127">
        <f t="shared" ref="M89:M94" si="66">L$10/L89</f>
        <v>419.953125</v>
      </c>
      <c r="N89" s="471"/>
      <c r="O89" s="471"/>
      <c r="P89" s="434">
        <v>60</v>
      </c>
      <c r="Q89" s="127">
        <f t="shared" ref="Q89:Q94" si="67">P$10/P89</f>
        <v>435</v>
      </c>
      <c r="R89" s="434">
        <v>62</v>
      </c>
      <c r="S89" s="129">
        <f t="shared" ref="S89:S94" si="68">R$10/R89</f>
        <v>430.37096774193549</v>
      </c>
      <c r="T89" s="128"/>
      <c r="U89" s="128"/>
      <c r="V89" s="434">
        <v>58</v>
      </c>
      <c r="W89" s="129">
        <f t="shared" ref="W89:W94" si="69">V$10/V89</f>
        <v>433.24137931034483</v>
      </c>
      <c r="X89" s="434">
        <v>60</v>
      </c>
      <c r="Y89" s="127">
        <f t="shared" ref="Y89:Y94" si="70">X$10/X89</f>
        <v>438.23333333333335</v>
      </c>
      <c r="Z89" s="471"/>
      <c r="AA89" s="471"/>
      <c r="AB89" s="434">
        <f>SUM(X89*0.9)</f>
        <v>54</v>
      </c>
      <c r="AC89" s="127">
        <f t="shared" ref="AC89:AC94" si="71">AB$10/AB89</f>
        <v>429.33333333333331</v>
      </c>
      <c r="AD89" s="434">
        <v>58</v>
      </c>
      <c r="AE89" s="128">
        <f t="shared" ref="AE89:AE94" si="72">AD$10/AD89</f>
        <v>439.94827586206895</v>
      </c>
      <c r="AF89" s="128"/>
      <c r="AG89" s="128"/>
      <c r="AH89" s="434">
        <v>45</v>
      </c>
      <c r="AI89" s="129">
        <f t="shared" ref="AI89:AI91" si="73">AH$10/AH89</f>
        <v>428.8</v>
      </c>
    </row>
    <row r="90" spans="1:35" outlineLevel="1" x14ac:dyDescent="0.3">
      <c r="B90" s="105" t="s">
        <v>521</v>
      </c>
      <c r="C90" s="294"/>
      <c r="D90" s="413">
        <v>373.5</v>
      </c>
      <c r="E90" s="129">
        <f t="shared" si="63"/>
        <v>72.481035252119597</v>
      </c>
      <c r="F90" s="434">
        <v>373.5</v>
      </c>
      <c r="G90" s="127">
        <f t="shared" si="64"/>
        <v>72.481927710843379</v>
      </c>
      <c r="H90" s="471"/>
      <c r="I90" s="471"/>
      <c r="J90" s="434">
        <v>373.5</v>
      </c>
      <c r="K90" s="127">
        <f t="shared" si="65"/>
        <v>72.481927710843379</v>
      </c>
      <c r="L90" s="434">
        <v>374</v>
      </c>
      <c r="M90" s="127">
        <f t="shared" si="66"/>
        <v>71.86363636363636</v>
      </c>
      <c r="N90" s="471"/>
      <c r="O90" s="471"/>
      <c r="P90" s="434">
        <v>360</v>
      </c>
      <c r="Q90" s="127">
        <f t="shared" si="67"/>
        <v>72.5</v>
      </c>
      <c r="R90" s="434">
        <f>SUM(R10/Q90)</f>
        <v>368.04137931034484</v>
      </c>
      <c r="S90" s="129">
        <f t="shared" si="68"/>
        <v>72.5</v>
      </c>
      <c r="T90" s="128"/>
      <c r="U90" s="128"/>
      <c r="V90" s="434">
        <f>SUM(V10/S90)</f>
        <v>346.59310344827588</v>
      </c>
      <c r="W90" s="129">
        <f t="shared" si="69"/>
        <v>72.5</v>
      </c>
      <c r="X90" s="434">
        <f>SUM(X10/W90)</f>
        <v>362.6758620689655</v>
      </c>
      <c r="Y90" s="127">
        <f t="shared" si="70"/>
        <v>72.5</v>
      </c>
      <c r="Z90" s="471"/>
      <c r="AA90" s="471"/>
      <c r="AB90" s="434">
        <f>SUM(AB10/Y90)</f>
        <v>319.77931034482759</v>
      </c>
      <c r="AC90" s="127">
        <f t="shared" si="71"/>
        <v>72.5</v>
      </c>
      <c r="AD90" s="434">
        <f>SUM(AD10/AC90)</f>
        <v>351.95862068965516</v>
      </c>
      <c r="AE90" s="128">
        <f t="shared" si="72"/>
        <v>72.5</v>
      </c>
      <c r="AF90" s="128"/>
      <c r="AG90" s="128"/>
      <c r="AH90" s="434">
        <f>SUM(AH10/AE90)</f>
        <v>266.15172413793101</v>
      </c>
      <c r="AI90" s="129">
        <f t="shared" si="73"/>
        <v>72.5</v>
      </c>
    </row>
    <row r="91" spans="1:35" outlineLevel="1" x14ac:dyDescent="0.3">
      <c r="B91" s="105" t="s">
        <v>522</v>
      </c>
      <c r="C91" s="294"/>
      <c r="D91" s="413">
        <v>64.916666666666671</v>
      </c>
      <c r="E91" s="129">
        <f t="shared" si="63"/>
        <v>417.02182284980751</v>
      </c>
      <c r="F91" s="434">
        <v>64.916666666666671</v>
      </c>
      <c r="G91" s="127">
        <f t="shared" si="64"/>
        <v>417.02695763799738</v>
      </c>
      <c r="H91" s="471"/>
      <c r="I91" s="471"/>
      <c r="J91" s="434">
        <v>64.916666666666671</v>
      </c>
      <c r="K91" s="127">
        <f t="shared" si="65"/>
        <v>417.02695763799738</v>
      </c>
      <c r="L91" s="434">
        <v>65</v>
      </c>
      <c r="M91" s="127">
        <f t="shared" si="66"/>
        <v>413.49230769230769</v>
      </c>
      <c r="N91" s="471"/>
      <c r="O91" s="471"/>
      <c r="P91" s="434">
        <f>SUM(P10/M91)</f>
        <v>63.120884027235185</v>
      </c>
      <c r="Q91" s="127">
        <f t="shared" si="67"/>
        <v>413.49230769230769</v>
      </c>
      <c r="R91" s="434">
        <f>SUM(R10/Q91)</f>
        <v>64.530825612977637</v>
      </c>
      <c r="S91" s="129">
        <f t="shared" si="68"/>
        <v>413.49230769230769</v>
      </c>
      <c r="T91" s="128"/>
      <c r="U91" s="128"/>
      <c r="V91" s="434">
        <f>SUM(V10/S91)</f>
        <v>60.77017524277263</v>
      </c>
      <c r="W91" s="129">
        <f t="shared" si="69"/>
        <v>413.49230769230769</v>
      </c>
      <c r="X91" s="434">
        <f>SUM(X10/W91)</f>
        <v>63.590058414257541</v>
      </c>
      <c r="Y91" s="127">
        <f t="shared" si="70"/>
        <v>413.49230769230769</v>
      </c>
      <c r="Z91" s="471"/>
      <c r="AA91" s="471"/>
      <c r="AB91" s="434">
        <f>SUM(AB10/Y91)</f>
        <v>56.068757673847529</v>
      </c>
      <c r="AC91" s="127">
        <f t="shared" si="71"/>
        <v>413.49230769230769</v>
      </c>
      <c r="AD91" s="434">
        <f>SUM(AD10/AC91)</f>
        <v>61.710942441492726</v>
      </c>
      <c r="AE91" s="128">
        <f t="shared" si="72"/>
        <v>413.49230769230769</v>
      </c>
      <c r="AF91" s="128"/>
      <c r="AG91" s="128"/>
      <c r="AH91" s="434">
        <f>SUM(AH10/AE91)</f>
        <v>46.665922535997325</v>
      </c>
      <c r="AI91" s="129">
        <f t="shared" si="73"/>
        <v>413.49230769230763</v>
      </c>
    </row>
    <row r="92" spans="1:35" outlineLevel="1" x14ac:dyDescent="0.3">
      <c r="B92" s="105" t="s">
        <v>523</v>
      </c>
      <c r="C92" s="294"/>
      <c r="D92" s="413">
        <v>7.5</v>
      </c>
      <c r="E92" s="129">
        <f t="shared" ref="E92:E93" si="74">D$10/D92</f>
        <v>3609.5555555555561</v>
      </c>
      <c r="F92" s="434">
        <v>7.5</v>
      </c>
      <c r="G92" s="127">
        <f t="shared" si="64"/>
        <v>3609.6</v>
      </c>
      <c r="H92" s="471"/>
      <c r="I92" s="471"/>
      <c r="J92" s="434">
        <v>7.5</v>
      </c>
      <c r="K92" s="127">
        <f t="shared" si="65"/>
        <v>3609.6</v>
      </c>
      <c r="L92" s="434">
        <v>8</v>
      </c>
      <c r="M92" s="127">
        <f t="shared" si="66"/>
        <v>3359.625</v>
      </c>
      <c r="N92" s="471"/>
      <c r="O92" s="471"/>
      <c r="P92" s="434">
        <v>8</v>
      </c>
      <c r="Q92" s="127">
        <f t="shared" si="67"/>
        <v>3262.5</v>
      </c>
      <c r="R92" s="434">
        <v>7</v>
      </c>
      <c r="S92" s="129">
        <f t="shared" si="68"/>
        <v>3811.8571428571427</v>
      </c>
      <c r="T92" s="128"/>
      <c r="U92" s="128"/>
      <c r="V92" s="434">
        <v>6</v>
      </c>
      <c r="W92" s="129">
        <f t="shared" si="69"/>
        <v>4188</v>
      </c>
      <c r="X92" s="434">
        <v>7</v>
      </c>
      <c r="Y92" s="127">
        <f t="shared" si="70"/>
        <v>3756.2857142857142</v>
      </c>
      <c r="Z92" s="471"/>
      <c r="AA92" s="471"/>
      <c r="AB92" s="434">
        <v>6</v>
      </c>
      <c r="AC92" s="127">
        <f t="shared" si="71"/>
        <v>3864</v>
      </c>
      <c r="AD92" s="434">
        <v>7</v>
      </c>
      <c r="AE92" s="128">
        <f t="shared" si="72"/>
        <v>3645.2857142857142</v>
      </c>
      <c r="AF92" s="128"/>
      <c r="AG92" s="128"/>
      <c r="AH92" s="434">
        <v>5</v>
      </c>
      <c r="AI92" s="129">
        <f t="shared" ref="AI92:AI93" si="75">AH$10/AH92</f>
        <v>3859.2</v>
      </c>
    </row>
    <row r="93" spans="1:35" outlineLevel="1" x14ac:dyDescent="0.3">
      <c r="B93" s="105" t="s">
        <v>524</v>
      </c>
      <c r="C93" s="294"/>
      <c r="D93" s="413">
        <v>57.083333333333336</v>
      </c>
      <c r="E93" s="129">
        <f t="shared" si="74"/>
        <v>474.24817518248182</v>
      </c>
      <c r="F93" s="434">
        <v>57.083333333333336</v>
      </c>
      <c r="G93" s="127">
        <f t="shared" si="64"/>
        <v>474.25401459854015</v>
      </c>
      <c r="H93" s="471"/>
      <c r="I93" s="471"/>
      <c r="J93" s="434">
        <v>57.083333333333336</v>
      </c>
      <c r="K93" s="127">
        <f t="shared" si="65"/>
        <v>474.25401459854015</v>
      </c>
      <c r="L93" s="434">
        <f>SUM(L10/E93)</f>
        <v>56.672859077756563</v>
      </c>
      <c r="M93" s="127">
        <f t="shared" si="66"/>
        <v>474.24817518248182</v>
      </c>
      <c r="N93" s="471"/>
      <c r="O93" s="471"/>
      <c r="P93" s="434">
        <f>SUM(P10/M93)</f>
        <v>55.034476389829457</v>
      </c>
      <c r="Q93" s="127">
        <f t="shared" si="67"/>
        <v>474.24817518248182</v>
      </c>
      <c r="R93" s="434">
        <f>SUM(R10/Q93)</f>
        <v>56.263790555931777</v>
      </c>
      <c r="S93" s="129">
        <f t="shared" si="68"/>
        <v>474.24817518248182</v>
      </c>
      <c r="T93" s="128"/>
      <c r="U93" s="128"/>
      <c r="V93" s="434">
        <f>SUM(V10/S93)</f>
        <v>52.984916579449603</v>
      </c>
      <c r="W93" s="129">
        <f t="shared" si="69"/>
        <v>474.24817518248182</v>
      </c>
      <c r="X93" s="434">
        <f>SUM(X10/W93)</f>
        <v>55.443544911654243</v>
      </c>
      <c r="Y93" s="127">
        <f t="shared" si="70"/>
        <v>474.24817518248182</v>
      </c>
      <c r="Z93" s="471"/>
      <c r="AA93" s="471"/>
      <c r="AB93" s="434">
        <f>SUM(AB10/Y93)</f>
        <v>48.885796958689888</v>
      </c>
      <c r="AC93" s="127">
        <f t="shared" si="71"/>
        <v>474.24817518248187</v>
      </c>
      <c r="AD93" s="434">
        <f>SUM(AD10/AC93)</f>
        <v>53.80516222372713</v>
      </c>
      <c r="AE93" s="128">
        <f t="shared" si="72"/>
        <v>474.24817518248187</v>
      </c>
      <c r="AF93" s="128"/>
      <c r="AG93" s="128"/>
      <c r="AH93" s="434">
        <f>SUM(AH10/AE93)</f>
        <v>40.687557717170463</v>
      </c>
      <c r="AI93" s="129">
        <f t="shared" si="75"/>
        <v>474.24817518248187</v>
      </c>
    </row>
    <row r="94" spans="1:35" ht="16.5" outlineLevel="1" thickBot="1" x14ac:dyDescent="0.35">
      <c r="B94" s="131" t="s">
        <v>520</v>
      </c>
      <c r="C94" s="298"/>
      <c r="D94" s="415">
        <v>822.33333333333337</v>
      </c>
      <c r="E94" s="132">
        <f t="shared" ref="E94" si="76">D$10/D94</f>
        <v>32.920551276854482</v>
      </c>
      <c r="F94" s="436">
        <v>822.33333333333337</v>
      </c>
      <c r="G94" s="133">
        <f t="shared" si="64"/>
        <v>32.920956627482774</v>
      </c>
      <c r="H94" s="472"/>
      <c r="I94" s="472"/>
      <c r="J94" s="436">
        <v>822.33333333333337</v>
      </c>
      <c r="K94" s="133">
        <f t="shared" si="65"/>
        <v>32.920956627482774</v>
      </c>
      <c r="L94" s="436">
        <f>SUM(L10/E94)</f>
        <v>816.42010712306831</v>
      </c>
      <c r="M94" s="133">
        <f t="shared" si="66"/>
        <v>32.920551276854482</v>
      </c>
      <c r="N94" s="472"/>
      <c r="O94" s="472"/>
      <c r="P94" s="436">
        <f>SUM(P10/M94)</f>
        <v>792.81782921874026</v>
      </c>
      <c r="Q94" s="133">
        <f t="shared" si="67"/>
        <v>32.920551276854482</v>
      </c>
      <c r="R94" s="436">
        <f>SUM(R10/Q94)</f>
        <v>810.52713168749608</v>
      </c>
      <c r="S94" s="132">
        <f t="shared" si="68"/>
        <v>32.920551276854482</v>
      </c>
      <c r="T94" s="134"/>
      <c r="U94" s="134"/>
      <c r="V94" s="436">
        <f>SUM(V10/S94)</f>
        <v>763.29219971680106</v>
      </c>
      <c r="W94" s="132">
        <f t="shared" si="69"/>
        <v>32.920551276854482</v>
      </c>
      <c r="X94" s="436">
        <f>SUM(X10/W94)</f>
        <v>798.7108046543126</v>
      </c>
      <c r="Y94" s="133">
        <f t="shared" si="70"/>
        <v>32.920551276854482</v>
      </c>
      <c r="Z94" s="472"/>
      <c r="AA94" s="472"/>
      <c r="AB94" s="436">
        <f>SUM(AB10/Y94)</f>
        <v>704.24094071292245</v>
      </c>
      <c r="AC94" s="133">
        <f t="shared" si="71"/>
        <v>32.920551276854482</v>
      </c>
      <c r="AD94" s="436">
        <f>SUM(AD10/AC94)</f>
        <v>775.10852674998455</v>
      </c>
      <c r="AE94" s="134">
        <f t="shared" si="72"/>
        <v>32.920551276854482</v>
      </c>
      <c r="AF94" s="134"/>
      <c r="AG94" s="134"/>
      <c r="AH94" s="436">
        <f>SUM(AH10/AE94)</f>
        <v>586.13842270516523</v>
      </c>
      <c r="AI94" s="132">
        <f t="shared" ref="AI94" si="77">AH$10/AH94</f>
        <v>32.920551276854482</v>
      </c>
    </row>
  </sheetData>
  <customSheetViews>
    <customSheetView guid="{B4B2789E-A92B-47A1-806A-E79E8613D3F5}" topLeftCell="A4">
      <selection activeCell="A16" sqref="A16"/>
      <pageMargins left="0.7" right="0.7" top="0.75" bottom="0.75" header="0.3" footer="0.3"/>
      <pageSetup orientation="portrait"/>
    </customSheetView>
    <customSheetView guid="{243EEA98-E2F9-4DAE-A7D1-6A008E515787}" topLeftCell="A4">
      <selection activeCell="A16" sqref="A16"/>
      <pageMargins left="0.7" right="0.7" top="0.75" bottom="0.75" header="0.3" footer="0.3"/>
      <pageSetup orientation="portrait"/>
    </customSheetView>
  </customSheetViews>
  <mergeCells count="32">
    <mergeCell ref="F56:K56"/>
    <mergeCell ref="F65:K65"/>
    <mergeCell ref="X3:AC3"/>
    <mergeCell ref="AD3:AI3"/>
    <mergeCell ref="AB4:AC4"/>
    <mergeCell ref="AD4:AE4"/>
    <mergeCell ref="AH4:AI4"/>
    <mergeCell ref="X4:Y4"/>
    <mergeCell ref="L65:Q65"/>
    <mergeCell ref="R65:W65"/>
    <mergeCell ref="X65:AC65"/>
    <mergeCell ref="AD65:AI65"/>
    <mergeCell ref="X7:AC7"/>
    <mergeCell ref="AD7:AI7"/>
    <mergeCell ref="L56:Q56"/>
    <mergeCell ref="R56:W56"/>
    <mergeCell ref="X56:AC56"/>
    <mergeCell ref="AD56:AI56"/>
    <mergeCell ref="D3:E3"/>
    <mergeCell ref="L7:Q7"/>
    <mergeCell ref="R7:W7"/>
    <mergeCell ref="R4:S4"/>
    <mergeCell ref="V4:W4"/>
    <mergeCell ref="D4:E4"/>
    <mergeCell ref="L3:Q3"/>
    <mergeCell ref="R3:W3"/>
    <mergeCell ref="L4:M4"/>
    <mergeCell ref="P4:Q4"/>
    <mergeCell ref="F3:K3"/>
    <mergeCell ref="F4:G4"/>
    <mergeCell ref="J4:K4"/>
    <mergeCell ref="F7:K7"/>
  </mergeCells>
  <hyperlinks>
    <hyperlink ref="A10" location="'Terms and Notes'!B4" display="*"/>
    <hyperlink ref="A8" location="'Terms and Notes'!B3" display="*"/>
    <hyperlink ref="A25" location="'Terms and Notes'!B5" display="*"/>
    <hyperlink ref="A28" location="'Terms and Notes'!B6" display="*"/>
    <hyperlink ref="A32" location="'Terms and Notes'!B7" display="*"/>
    <hyperlink ref="A33" location="'Terms and Notes'!B8" display="*"/>
    <hyperlink ref="D32" location="'Terms and Notes'!B7" display="*"/>
    <hyperlink ref="D9" location="'Terms and Notes'!B7" display="*"/>
    <hyperlink ref="A58" location="'Terms and Notes'!B9" display="*"/>
    <hyperlink ref="A68" location="'Terms and Notes'!B10" display="*"/>
    <hyperlink ref="A69" location="'Terms and Notes'!B11" display="*"/>
    <hyperlink ref="A72" location="'Terms and Notes'!B12" display="*"/>
    <hyperlink ref="A88" location="'Terms and Notes'!B13" display="*"/>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15D29"/>
  </sheetPr>
  <dimension ref="A1:AS507"/>
  <sheetViews>
    <sheetView tabSelected="1" topLeftCell="A155" zoomScaleNormal="100" zoomScalePageLayoutView="125" workbookViewId="0">
      <selection activeCell="I148" sqref="I148"/>
    </sheetView>
  </sheetViews>
  <sheetFormatPr defaultColWidth="8.7109375" defaultRowHeight="13.5" outlineLevelRow="1" x14ac:dyDescent="0.25"/>
  <cols>
    <col min="1" max="1" width="8.7109375" style="182"/>
    <col min="2" max="2" width="12.42578125" style="183" bestFit="1" customWidth="1"/>
    <col min="3" max="3" width="14.7109375" style="182" bestFit="1" customWidth="1"/>
    <col min="4" max="4" width="14.7109375" style="182" hidden="1" customWidth="1"/>
    <col min="5" max="5" width="36.42578125" style="184" customWidth="1"/>
    <col min="6" max="6" width="41.42578125" style="184" customWidth="1"/>
    <col min="7" max="7" width="26.42578125" style="185" customWidth="1"/>
    <col min="8" max="8" width="33.7109375" style="181" customWidth="1"/>
    <col min="9" max="9" width="14.28515625" style="186" customWidth="1"/>
    <col min="10" max="10" width="11.7109375" style="182" hidden="1" customWidth="1"/>
    <col min="11" max="11" width="27.7109375" style="187" customWidth="1"/>
    <col min="12" max="12" width="25.42578125" style="270" customWidth="1"/>
    <col min="13" max="13" width="19" style="271" bestFit="1" customWidth="1"/>
    <col min="14" max="14" width="27.7109375" style="270" customWidth="1"/>
    <col min="15" max="15" width="24.7109375" style="187" customWidth="1"/>
    <col min="16" max="16" width="19" style="182" bestFit="1" customWidth="1"/>
    <col min="17" max="17" width="22.28515625" style="264" bestFit="1" customWidth="1"/>
    <col min="18" max="18" width="25.28515625" style="187" bestFit="1" customWidth="1"/>
    <col min="19" max="19" width="10.42578125" style="182" customWidth="1"/>
    <col min="20" max="20" width="20.28515625" style="182" customWidth="1"/>
    <col min="21" max="21" width="25.28515625" style="272" bestFit="1" customWidth="1" collapsed="1"/>
    <col min="22" max="22" width="13.7109375" style="270" bestFit="1" customWidth="1"/>
    <col min="23" max="23" width="19.28515625" style="270" customWidth="1"/>
    <col min="24" max="24" width="25.28515625" style="182" bestFit="1" customWidth="1"/>
    <col min="25" max="25" width="13.7109375" style="182" bestFit="1" customWidth="1"/>
    <col min="26" max="26" width="19.28515625" style="182" customWidth="1"/>
    <col min="27" max="27" width="25.28515625" style="272" bestFit="1" customWidth="1"/>
    <col min="28" max="28" width="13.7109375" style="270" bestFit="1" customWidth="1"/>
    <col min="29" max="29" width="20.42578125" style="270" customWidth="1"/>
    <col min="30" max="30" width="25.28515625" style="182" bestFit="1" customWidth="1"/>
    <col min="31" max="31" width="13.7109375" style="182" bestFit="1" customWidth="1"/>
    <col min="32" max="32" width="21" style="182" customWidth="1"/>
    <col min="33" max="33" width="25.28515625" style="182" bestFit="1" customWidth="1"/>
    <col min="34" max="34" width="13.7109375" style="182" bestFit="1" customWidth="1"/>
    <col min="35" max="35" width="19" style="182" bestFit="1" customWidth="1"/>
    <col min="36" max="36" width="25.28515625" style="182" bestFit="1" customWidth="1"/>
    <col min="37" max="37" width="13.7109375" style="182" bestFit="1" customWidth="1"/>
    <col min="38" max="38" width="22.42578125" style="182" customWidth="1"/>
    <col min="39" max="39" width="25.28515625" style="182" customWidth="1"/>
    <col min="40" max="40" width="13.7109375" style="182" customWidth="1"/>
    <col min="41" max="41" width="21.42578125" style="182" customWidth="1"/>
    <col min="42" max="42" width="25.28515625" style="182" customWidth="1"/>
    <col min="43" max="43" width="13.7109375" style="182" customWidth="1"/>
    <col min="44" max="44" width="22.42578125" style="182" customWidth="1"/>
    <col min="45" max="16384" width="8.7109375" style="182"/>
  </cols>
  <sheetData>
    <row r="1" spans="5:45" ht="17.25" outlineLevel="1" thickBot="1" x14ac:dyDescent="0.3">
      <c r="L1" s="188"/>
      <c r="M1" s="189"/>
      <c r="N1" s="188"/>
      <c r="O1" s="584" t="s">
        <v>380</v>
      </c>
      <c r="P1" s="584"/>
      <c r="Q1" s="584"/>
      <c r="R1" s="584"/>
      <c r="S1" s="584"/>
      <c r="T1" s="584"/>
      <c r="U1" s="584"/>
      <c r="V1" s="584"/>
      <c r="W1" s="584"/>
      <c r="X1" s="584"/>
      <c r="Y1" s="584"/>
      <c r="Z1" s="584"/>
      <c r="AA1" s="584"/>
      <c r="AB1" s="584"/>
      <c r="AC1" s="584"/>
      <c r="AD1" s="584"/>
      <c r="AE1" s="584"/>
      <c r="AF1" s="584"/>
      <c r="AG1" s="584"/>
      <c r="AH1" s="584"/>
      <c r="AI1" s="584"/>
      <c r="AJ1" s="584"/>
      <c r="AK1" s="584"/>
      <c r="AL1" s="584"/>
      <c r="AM1" s="512"/>
      <c r="AN1" s="512"/>
      <c r="AO1" s="512"/>
      <c r="AP1" s="512"/>
      <c r="AQ1" s="512"/>
      <c r="AR1" s="512"/>
      <c r="AS1" s="190"/>
    </row>
    <row r="2" spans="5:45" ht="17.25" outlineLevel="1" thickBot="1" x14ac:dyDescent="0.3">
      <c r="E2" s="191"/>
      <c r="F2" s="191"/>
      <c r="L2" s="192"/>
      <c r="M2" s="192"/>
      <c r="N2" s="192"/>
      <c r="O2" s="585" t="s">
        <v>86</v>
      </c>
      <c r="P2" s="586"/>
      <c r="Q2" s="586"/>
      <c r="R2" s="586"/>
      <c r="S2" s="586"/>
      <c r="T2" s="587"/>
      <c r="U2" s="585" t="s">
        <v>87</v>
      </c>
      <c r="V2" s="586"/>
      <c r="W2" s="586"/>
      <c r="X2" s="586"/>
      <c r="Y2" s="586"/>
      <c r="Z2" s="587"/>
      <c r="AA2" s="585" t="s">
        <v>88</v>
      </c>
      <c r="AB2" s="586"/>
      <c r="AC2" s="586"/>
      <c r="AD2" s="586"/>
      <c r="AE2" s="586"/>
      <c r="AF2" s="587"/>
      <c r="AG2" s="585" t="s">
        <v>178</v>
      </c>
      <c r="AH2" s="586"/>
      <c r="AI2" s="586"/>
      <c r="AJ2" s="586"/>
      <c r="AK2" s="586"/>
      <c r="AL2" s="586"/>
      <c r="AM2" s="585" t="s">
        <v>547</v>
      </c>
      <c r="AN2" s="586"/>
      <c r="AO2" s="586"/>
      <c r="AP2" s="586"/>
      <c r="AQ2" s="586"/>
      <c r="AR2" s="587"/>
      <c r="AS2" s="190"/>
    </row>
    <row r="3" spans="5:45" ht="16.5" outlineLevel="1" x14ac:dyDescent="0.25">
      <c r="E3" s="191"/>
      <c r="F3" s="191"/>
      <c r="L3" s="193"/>
      <c r="M3" s="510"/>
      <c r="N3" s="194" t="s">
        <v>409</v>
      </c>
      <c r="O3" s="195"/>
      <c r="P3" s="509"/>
      <c r="Q3" s="197" t="s">
        <v>396</v>
      </c>
      <c r="R3" s="198"/>
      <c r="S3" s="493"/>
      <c r="T3" s="511" t="s">
        <v>397</v>
      </c>
      <c r="U3" s="195"/>
      <c r="V3" s="509"/>
      <c r="W3" s="197" t="s">
        <v>396</v>
      </c>
      <c r="X3" s="198"/>
      <c r="Y3" s="493"/>
      <c r="Z3" s="511" t="s">
        <v>397</v>
      </c>
      <c r="AA3" s="195"/>
      <c r="AB3" s="509"/>
      <c r="AC3" s="197" t="s">
        <v>396</v>
      </c>
      <c r="AD3" s="198"/>
      <c r="AE3" s="493"/>
      <c r="AF3" s="511" t="s">
        <v>397</v>
      </c>
      <c r="AG3" s="195"/>
      <c r="AH3" s="509"/>
      <c r="AI3" s="197" t="s">
        <v>396</v>
      </c>
      <c r="AJ3" s="198"/>
      <c r="AK3" s="509"/>
      <c r="AL3" s="509" t="s">
        <v>397</v>
      </c>
      <c r="AM3" s="195"/>
      <c r="AN3" s="509"/>
      <c r="AO3" s="197" t="s">
        <v>396</v>
      </c>
      <c r="AP3" s="198"/>
      <c r="AQ3" s="509"/>
      <c r="AR3" s="511" t="s">
        <v>397</v>
      </c>
      <c r="AS3" s="190"/>
    </row>
    <row r="4" spans="5:45" ht="16.5" outlineLevel="1" x14ac:dyDescent="0.25">
      <c r="E4" s="191"/>
      <c r="F4" s="191"/>
      <c r="L4" s="582" t="s">
        <v>550</v>
      </c>
      <c r="M4" s="583"/>
      <c r="N4" s="491">
        <f>M$135-$M$135</f>
        <v>0</v>
      </c>
      <c r="O4" s="582" t="s">
        <v>550</v>
      </c>
      <c r="P4" s="583"/>
      <c r="Q4" s="491">
        <f>P$135-$M$135</f>
        <v>194.49999999999818</v>
      </c>
      <c r="R4" s="583" t="s">
        <v>550</v>
      </c>
      <c r="S4" s="583"/>
      <c r="T4" s="491">
        <f>S$135-$M$135</f>
        <v>971.49999999999818</v>
      </c>
      <c r="U4" s="582" t="s">
        <v>550</v>
      </c>
      <c r="V4" s="583"/>
      <c r="W4" s="491">
        <f>V$135-$M$135</f>
        <v>388.49999999999818</v>
      </c>
      <c r="X4" s="583" t="s">
        <v>550</v>
      </c>
      <c r="Y4" s="583"/>
      <c r="Z4" s="491">
        <f>Y$135-$M$135</f>
        <v>1943.4999999999982</v>
      </c>
      <c r="AA4" s="582" t="s">
        <v>550</v>
      </c>
      <c r="AB4" s="583"/>
      <c r="AC4" s="491">
        <f>AB$135-$M$135</f>
        <v>777.49999999999818</v>
      </c>
      <c r="AD4" s="583" t="s">
        <v>550</v>
      </c>
      <c r="AE4" s="583"/>
      <c r="AF4" s="491">
        <f>AE$135-$M$135</f>
        <v>3887.4999999999982</v>
      </c>
      <c r="AG4" s="582" t="s">
        <v>550</v>
      </c>
      <c r="AH4" s="583"/>
      <c r="AI4" s="491">
        <f>AH$135-$M$135</f>
        <v>1554.4999999999982</v>
      </c>
      <c r="AJ4" s="583" t="s">
        <v>550</v>
      </c>
      <c r="AK4" s="583"/>
      <c r="AL4" s="491">
        <f>AK$135-$M$135</f>
        <v>7775.4999999999982</v>
      </c>
      <c r="AM4" s="582" t="s">
        <v>550</v>
      </c>
      <c r="AN4" s="583"/>
      <c r="AO4" s="491">
        <f>AN$135-$M$135</f>
        <v>-0.50000000000181899</v>
      </c>
      <c r="AP4" s="583" t="s">
        <v>550</v>
      </c>
      <c r="AQ4" s="583"/>
      <c r="AR4" s="535">
        <f>AQ$135-$M$135</f>
        <v>-0.50000000000181899</v>
      </c>
      <c r="AS4" s="190"/>
    </row>
    <row r="5" spans="5:45" ht="16.5" outlineLevel="1" x14ac:dyDescent="0.25">
      <c r="K5" s="200" t="s">
        <v>283</v>
      </c>
      <c r="L5" s="582" t="s">
        <v>551</v>
      </c>
      <c r="M5" s="583"/>
      <c r="N5" s="491">
        <f>M19-$M19</f>
        <v>0</v>
      </c>
      <c r="O5" s="582" t="s">
        <v>551</v>
      </c>
      <c r="P5" s="583"/>
      <c r="Q5" s="496">
        <f>P19-$M19</f>
        <v>-194.66666666666788</v>
      </c>
      <c r="R5" s="583" t="s">
        <v>551</v>
      </c>
      <c r="S5" s="583"/>
      <c r="T5" s="491">
        <f>S19-$M19</f>
        <v>-971.66666666666788</v>
      </c>
      <c r="U5" s="582" t="s">
        <v>551</v>
      </c>
      <c r="V5" s="583"/>
      <c r="W5" s="491">
        <f>V19-$M19</f>
        <v>-388.66666666666788</v>
      </c>
      <c r="X5" s="583" t="s">
        <v>551</v>
      </c>
      <c r="Y5" s="583"/>
      <c r="Z5" s="491">
        <f>Y19-$M19</f>
        <v>-1943.6666666666679</v>
      </c>
      <c r="AA5" s="582" t="s">
        <v>551</v>
      </c>
      <c r="AB5" s="583"/>
      <c r="AC5" s="491">
        <f>AB19-$M19</f>
        <v>-777.66666666666788</v>
      </c>
      <c r="AD5" s="583" t="s">
        <v>551</v>
      </c>
      <c r="AE5" s="583"/>
      <c r="AF5" s="491">
        <f>AE19-$M19</f>
        <v>-3887.6666666666679</v>
      </c>
      <c r="AG5" s="582" t="s">
        <v>551</v>
      </c>
      <c r="AH5" s="583"/>
      <c r="AI5" s="491">
        <f>AH19-$M19</f>
        <v>-1554.6666666666679</v>
      </c>
      <c r="AJ5" s="583" t="s">
        <v>551</v>
      </c>
      <c r="AK5" s="583"/>
      <c r="AL5" s="491">
        <f>AK19-$M19</f>
        <v>-7775.6666666666679</v>
      </c>
      <c r="AM5" s="582" t="s">
        <v>551</v>
      </c>
      <c r="AN5" s="583"/>
      <c r="AO5" s="491">
        <f>AN19-$M19</f>
        <v>0.33333333333212067</v>
      </c>
      <c r="AP5" s="583" t="s">
        <v>551</v>
      </c>
      <c r="AQ5" s="583"/>
      <c r="AR5" s="535">
        <f>AQ19-$M19</f>
        <v>0.33333333333212067</v>
      </c>
      <c r="AS5" s="190"/>
    </row>
    <row r="6" spans="5:45" ht="16.5" outlineLevel="1" x14ac:dyDescent="0.25">
      <c r="K6" s="200"/>
      <c r="L6" s="582" t="s">
        <v>552</v>
      </c>
      <c r="M6" s="583"/>
      <c r="N6" s="491">
        <f>SUM(N4:N5)</f>
        <v>0</v>
      </c>
      <c r="O6" s="582" t="s">
        <v>552</v>
      </c>
      <c r="P6" s="583"/>
      <c r="Q6" s="496">
        <f>SUM(Q4:Q5)</f>
        <v>-0.16666666666969832</v>
      </c>
      <c r="R6" s="583" t="s">
        <v>552</v>
      </c>
      <c r="S6" s="583"/>
      <c r="T6" s="491">
        <f>SUM(T4:T5)</f>
        <v>-0.16666666666969832</v>
      </c>
      <c r="U6" s="582" t="s">
        <v>552</v>
      </c>
      <c r="V6" s="583"/>
      <c r="W6" s="491">
        <f>SUM(W4:W5)</f>
        <v>-0.16666666666969832</v>
      </c>
      <c r="X6" s="583" t="s">
        <v>552</v>
      </c>
      <c r="Y6" s="583"/>
      <c r="Z6" s="491">
        <f>SUM(Z4:Z5)</f>
        <v>-0.16666666666969832</v>
      </c>
      <c r="AA6" s="582" t="s">
        <v>552</v>
      </c>
      <c r="AB6" s="583"/>
      <c r="AC6" s="491">
        <f>SUM(AC4:AC5)</f>
        <v>-0.16666666666969832</v>
      </c>
      <c r="AD6" s="583" t="s">
        <v>552</v>
      </c>
      <c r="AE6" s="583"/>
      <c r="AF6" s="491">
        <f>SUM(AF4:AF5)</f>
        <v>-0.16666666666969832</v>
      </c>
      <c r="AG6" s="582" t="s">
        <v>552</v>
      </c>
      <c r="AH6" s="583"/>
      <c r="AI6" s="491">
        <f>SUM(AI4:AI5)</f>
        <v>-0.16666666666969832</v>
      </c>
      <c r="AJ6" s="583" t="s">
        <v>552</v>
      </c>
      <c r="AK6" s="583"/>
      <c r="AL6" s="491">
        <f>SUM(AL4:AL5)</f>
        <v>-0.16666666666969832</v>
      </c>
      <c r="AM6" s="582" t="s">
        <v>552</v>
      </c>
      <c r="AN6" s="583"/>
      <c r="AO6" s="491">
        <f>SUM(AO4:AO5)</f>
        <v>-0.16666666666969832</v>
      </c>
      <c r="AP6" s="583" t="s">
        <v>552</v>
      </c>
      <c r="AQ6" s="583"/>
      <c r="AR6" s="535">
        <f>SUM(AR4:AR5)</f>
        <v>-0.16666666666969832</v>
      </c>
      <c r="AS6" s="190"/>
    </row>
    <row r="7" spans="5:45" ht="16.5" outlineLevel="1" x14ac:dyDescent="0.25">
      <c r="K7" s="200"/>
      <c r="L7" s="582" t="s">
        <v>553</v>
      </c>
      <c r="M7" s="583"/>
      <c r="N7" s="201">
        <f>((L$19-L$135)-($L$19-$L$135))*-1</f>
        <v>0</v>
      </c>
      <c r="O7" s="582" t="s">
        <v>553</v>
      </c>
      <c r="P7" s="583"/>
      <c r="Q7" s="201">
        <f>((O$19-O$135)-($L$19-$L$135))*-1</f>
        <v>4153517.2407182455</v>
      </c>
      <c r="R7" s="583" t="s">
        <v>553</v>
      </c>
      <c r="S7" s="583"/>
      <c r="T7" s="201">
        <f>((R$19-R$135)-($L$19-$L$135))*-1</f>
        <v>10223402.443823755</v>
      </c>
      <c r="U7" s="582" t="s">
        <v>553</v>
      </c>
      <c r="V7" s="583"/>
      <c r="W7" s="201">
        <f>((U$19-U$135)-($L$19-$L$135))*-1</f>
        <v>4755838.4382338524</v>
      </c>
      <c r="X7" s="583" t="s">
        <v>553</v>
      </c>
      <c r="Y7" s="583"/>
      <c r="Z7" s="201">
        <f>((X$19-X$135)-($L$19-$L$135))*-1</f>
        <v>16462107.520960212</v>
      </c>
      <c r="AA7" s="582" t="s">
        <v>553</v>
      </c>
      <c r="AB7" s="583"/>
      <c r="AC7" s="201">
        <f>((AA$19-AA$135)-($L$19-$L$135))*-1</f>
        <v>5698097.1597268581</v>
      </c>
      <c r="AD7" s="583" t="s">
        <v>553</v>
      </c>
      <c r="AE7" s="583"/>
      <c r="AF7" s="201">
        <f>((AD$19-AD$135)-($L$19-$L$135))*-1</f>
        <v>29210017.732706666</v>
      </c>
      <c r="AG7" s="582" t="s">
        <v>553</v>
      </c>
      <c r="AH7" s="583"/>
      <c r="AI7" s="201">
        <f>((AG$19-AG$135)-($L$19-$L$135))*-1</f>
        <v>7423462.6195824146</v>
      </c>
      <c r="AJ7" s="583" t="s">
        <v>553</v>
      </c>
      <c r="AK7" s="583"/>
      <c r="AL7" s="201">
        <f>((AJ$19-AJ$135)-($L$19-$L$135))*-1</f>
        <v>55298670.556358218</v>
      </c>
      <c r="AM7" s="582" t="s">
        <v>553</v>
      </c>
      <c r="AN7" s="583"/>
      <c r="AO7" s="201">
        <f>((AM$19-AM$135)-($L$19-$L$135))*-1</f>
        <v>3859532.4219847918</v>
      </c>
      <c r="AP7" s="583" t="s">
        <v>553</v>
      </c>
      <c r="AQ7" s="583"/>
      <c r="AR7" s="536">
        <f>((AP$19-AP$135)-($L$19-$L$135))*-1</f>
        <v>3763062.6181437969</v>
      </c>
      <c r="AS7" s="494"/>
    </row>
    <row r="8" spans="5:45" ht="16.5" outlineLevel="1" x14ac:dyDescent="0.25">
      <c r="K8" s="200"/>
      <c r="L8" s="582" t="s">
        <v>554</v>
      </c>
      <c r="M8" s="583"/>
      <c r="N8" s="201">
        <f>N7-$AO7</f>
        <v>-3859532.4219847918</v>
      </c>
      <c r="O8" s="582" t="s">
        <v>554</v>
      </c>
      <c r="P8" s="583"/>
      <c r="Q8" s="201">
        <f>Q7-$AO7</f>
        <v>293984.81873345375</v>
      </c>
      <c r="R8" s="583" t="s">
        <v>554</v>
      </c>
      <c r="S8" s="583"/>
      <c r="T8" s="201">
        <f>T7-$AR7</f>
        <v>6460339.8256799579</v>
      </c>
      <c r="U8" s="582" t="s">
        <v>554</v>
      </c>
      <c r="V8" s="583"/>
      <c r="W8" s="201">
        <f>W7-$AO7</f>
        <v>896306.01624906063</v>
      </c>
      <c r="X8" s="583" t="s">
        <v>554</v>
      </c>
      <c r="Y8" s="583"/>
      <c r="Z8" s="201">
        <f>Z7-$AR7</f>
        <v>12699044.902816415</v>
      </c>
      <c r="AA8" s="582" t="s">
        <v>554</v>
      </c>
      <c r="AB8" s="583"/>
      <c r="AC8" s="201">
        <f>AC7-$AO7</f>
        <v>1838564.7377420664</v>
      </c>
      <c r="AD8" s="583" t="s">
        <v>554</v>
      </c>
      <c r="AE8" s="583"/>
      <c r="AF8" s="201">
        <f>AF7-$AR7</f>
        <v>25446955.114562869</v>
      </c>
      <c r="AG8" s="582" t="s">
        <v>554</v>
      </c>
      <c r="AH8" s="583"/>
      <c r="AI8" s="201">
        <f>AI7-$AO7</f>
        <v>3563930.1975976229</v>
      </c>
      <c r="AJ8" s="583" t="s">
        <v>554</v>
      </c>
      <c r="AK8" s="583"/>
      <c r="AL8" s="201">
        <f>AL7-$AR7</f>
        <v>51535607.938214421</v>
      </c>
      <c r="AM8" s="582" t="s">
        <v>554</v>
      </c>
      <c r="AN8" s="583"/>
      <c r="AO8" s="201">
        <f>AO7-$AO7</f>
        <v>0</v>
      </c>
      <c r="AP8" s="583" t="s">
        <v>554</v>
      </c>
      <c r="AQ8" s="583"/>
      <c r="AR8" s="536">
        <f>AR7-$AR7</f>
        <v>0</v>
      </c>
      <c r="AS8" s="190"/>
    </row>
    <row r="9" spans="5:45" ht="16.5" outlineLevel="1" x14ac:dyDescent="0.25">
      <c r="K9" s="200"/>
      <c r="L9" s="582" t="s">
        <v>555</v>
      </c>
      <c r="M9" s="583"/>
      <c r="N9" s="201" t="e">
        <f>N8/N4</f>
        <v>#DIV/0!</v>
      </c>
      <c r="O9" s="582" t="s">
        <v>555</v>
      </c>
      <c r="P9" s="583"/>
      <c r="Q9" s="497">
        <f>Q8/Q4</f>
        <v>1511.4900706090309</v>
      </c>
      <c r="R9" s="583" t="s">
        <v>555</v>
      </c>
      <c r="S9" s="583"/>
      <c r="T9" s="201">
        <f>T8/T4</f>
        <v>6649.860860195543</v>
      </c>
      <c r="U9" s="582" t="s">
        <v>555</v>
      </c>
      <c r="V9" s="583"/>
      <c r="W9" s="201">
        <f>W8/W4</f>
        <v>2307.0939929190858</v>
      </c>
      <c r="X9" s="583" t="s">
        <v>555</v>
      </c>
      <c r="Y9" s="583"/>
      <c r="Z9" s="201">
        <f>Z8/Z4</f>
        <v>6534.1110896920127</v>
      </c>
      <c r="AA9" s="582" t="s">
        <v>555</v>
      </c>
      <c r="AB9" s="583"/>
      <c r="AC9" s="201">
        <f>AC8/AC4</f>
        <v>2364.7134890573257</v>
      </c>
      <c r="AD9" s="583" t="s">
        <v>555</v>
      </c>
      <c r="AE9" s="583"/>
      <c r="AF9" s="201">
        <f>AF8/AF4</f>
        <v>6545.8405439390044</v>
      </c>
      <c r="AG9" s="582" t="s">
        <v>555</v>
      </c>
      <c r="AH9" s="583"/>
      <c r="AI9" s="201">
        <f>AI8/AI4</f>
        <v>2292.6537134754758</v>
      </c>
      <c r="AJ9" s="583" t="s">
        <v>555</v>
      </c>
      <c r="AK9" s="583"/>
      <c r="AL9" s="201">
        <f>AL8/AL4</f>
        <v>6627.9477767621929</v>
      </c>
      <c r="AM9" s="582" t="s">
        <v>555</v>
      </c>
      <c r="AN9" s="583"/>
      <c r="AO9" s="201">
        <f>AO8/AO4</f>
        <v>0</v>
      </c>
      <c r="AP9" s="583" t="s">
        <v>555</v>
      </c>
      <c r="AQ9" s="583"/>
      <c r="AR9" s="536">
        <f>AR8/AR4</f>
        <v>0</v>
      </c>
      <c r="AS9" s="190"/>
    </row>
    <row r="10" spans="5:45" ht="16.5" outlineLevel="1" x14ac:dyDescent="0.25">
      <c r="K10" s="200"/>
      <c r="L10" s="582" t="s">
        <v>556</v>
      </c>
      <c r="M10" s="583"/>
      <c r="N10" s="201" t="e">
        <f>(L135-$L135)/N4</f>
        <v>#DIV/0!</v>
      </c>
      <c r="O10" s="582" t="s">
        <v>560</v>
      </c>
      <c r="P10" s="583"/>
      <c r="Q10" s="497">
        <f>(O135-$L135)/Q4</f>
        <v>10213.265865162455</v>
      </c>
      <c r="R10" s="583" t="s">
        <v>556</v>
      </c>
      <c r="S10" s="583"/>
      <c r="T10" s="201">
        <f>(R135-$L135)/T4</f>
        <v>10155.711769872749</v>
      </c>
      <c r="U10" s="582" t="s">
        <v>556</v>
      </c>
      <c r="V10" s="583"/>
      <c r="W10" s="201">
        <f>(U135-$L135)/W4</f>
        <v>10141.304728001634</v>
      </c>
      <c r="X10" s="583" t="s">
        <v>556</v>
      </c>
      <c r="Y10" s="583"/>
      <c r="Z10" s="201">
        <f>(X135-$L135)/Z4</f>
        <v>10170.111398807461</v>
      </c>
      <c r="AA10" s="582" t="s">
        <v>556</v>
      </c>
      <c r="AB10" s="583"/>
      <c r="AC10" s="201">
        <f>(AA135-$L135)/AC4</f>
        <v>10177.308435211347</v>
      </c>
      <c r="AD10" s="583" t="s">
        <v>556</v>
      </c>
      <c r="AE10" s="583"/>
      <c r="AF10" s="201">
        <f>(AD135-$L135)/AF4</f>
        <v>10166.028241460563</v>
      </c>
      <c r="AG10" s="582" t="s">
        <v>556</v>
      </c>
      <c r="AH10" s="583"/>
      <c r="AI10" s="201">
        <f>(AG135-$L135)/AI4</f>
        <v>10159.312371845683</v>
      </c>
      <c r="AJ10" s="583" t="s">
        <v>556</v>
      </c>
      <c r="AK10" s="583"/>
      <c r="AL10" s="201">
        <f>(AJ135-$L135)/AL4</f>
        <v>10165.866968032662</v>
      </c>
      <c r="AM10" s="582" t="s">
        <v>556</v>
      </c>
      <c r="AN10" s="583"/>
      <c r="AO10" s="201">
        <f>(AM135-$L135)/AO4</f>
        <v>7658.0651642103549</v>
      </c>
      <c r="AP10" s="583" t="s">
        <v>556</v>
      </c>
      <c r="AQ10" s="583"/>
      <c r="AR10" s="536">
        <f>(AP135-$L135)/AR4</f>
        <v>7658.0651642103549</v>
      </c>
      <c r="AS10" s="190"/>
    </row>
    <row r="11" spans="5:45" ht="16.5" outlineLevel="1" x14ac:dyDescent="0.25">
      <c r="K11" s="200"/>
      <c r="L11" s="582" t="s">
        <v>557</v>
      </c>
      <c r="M11" s="583"/>
      <c r="N11" s="201" t="e">
        <f>N10-N9</f>
        <v>#DIV/0!</v>
      </c>
      <c r="O11" s="582" t="s">
        <v>557</v>
      </c>
      <c r="P11" s="583"/>
      <c r="Q11" s="201">
        <f>(Q10-Q9)*-1</f>
        <v>-8701.7757945534249</v>
      </c>
      <c r="R11" s="583" t="s">
        <v>557</v>
      </c>
      <c r="S11" s="583"/>
      <c r="T11" s="201">
        <f>(T10-T9)*-1</f>
        <v>-3505.8509096772059</v>
      </c>
      <c r="U11" s="582" t="s">
        <v>557</v>
      </c>
      <c r="V11" s="583"/>
      <c r="W11" s="201">
        <f>(W10-W9)*-1</f>
        <v>-7834.2107350825481</v>
      </c>
      <c r="X11" s="583" t="s">
        <v>557</v>
      </c>
      <c r="Y11" s="583"/>
      <c r="Z11" s="201">
        <f>(Z10-Z9)*-1</f>
        <v>-3636.0003091154485</v>
      </c>
      <c r="AA11" s="582" t="s">
        <v>557</v>
      </c>
      <c r="AB11" s="583"/>
      <c r="AC11" s="201">
        <f>(AC10-AC9)*-1</f>
        <v>-7812.5949461540222</v>
      </c>
      <c r="AD11" s="583" t="s">
        <v>557</v>
      </c>
      <c r="AE11" s="583"/>
      <c r="AF11" s="201">
        <f>(AF10-AF9)*-1</f>
        <v>-3620.1876975215582</v>
      </c>
      <c r="AG11" s="582" t="s">
        <v>557</v>
      </c>
      <c r="AH11" s="583"/>
      <c r="AI11" s="201">
        <f>(AI10-AI9)*-1</f>
        <v>-7866.6586583702065</v>
      </c>
      <c r="AJ11" s="583" t="s">
        <v>557</v>
      </c>
      <c r="AK11" s="583"/>
      <c r="AL11" s="201">
        <f>(AL10-AL9)*-1</f>
        <v>-3537.9191912704691</v>
      </c>
      <c r="AM11" s="582" t="s">
        <v>557</v>
      </c>
      <c r="AN11" s="583"/>
      <c r="AO11" s="201">
        <f>(AO10-AO9)*-1</f>
        <v>-7658.0651642103549</v>
      </c>
      <c r="AP11" s="583" t="s">
        <v>557</v>
      </c>
      <c r="AQ11" s="583"/>
      <c r="AR11" s="536">
        <f>(AR10-AR9)*-1</f>
        <v>-7658.0651642103549</v>
      </c>
      <c r="AS11" s="190"/>
    </row>
    <row r="12" spans="5:45" ht="19.5" outlineLevel="1" x14ac:dyDescent="0.25">
      <c r="E12" s="202"/>
      <c r="F12" s="203"/>
      <c r="K12" s="200"/>
      <c r="L12" s="582" t="s">
        <v>558</v>
      </c>
      <c r="M12" s="583"/>
      <c r="N12" s="492">
        <f>($K19+L19)/'Enrollment &amp; Staffing'!D8</f>
        <v>14001.067178862797</v>
      </c>
      <c r="O12" s="582" t="s">
        <v>558</v>
      </c>
      <c r="P12" s="583"/>
      <c r="Q12" s="492">
        <f>($K19+O19)/'Enrollment &amp; Staffing'!L8</f>
        <v>13945.384919403297</v>
      </c>
      <c r="R12" s="583" t="s">
        <v>558</v>
      </c>
      <c r="S12" s="583"/>
      <c r="T12" s="492">
        <f>($K19+R19)/'Enrollment &amp; Staffing'!P8</f>
        <v>13991.940855470582</v>
      </c>
      <c r="U12" s="582" t="s">
        <v>558</v>
      </c>
      <c r="V12" s="583"/>
      <c r="W12" s="492">
        <f>($K19+U19)/'Enrollment &amp; Staffing'!R8</f>
        <v>13980.138893025554</v>
      </c>
      <c r="X12" s="583" t="s">
        <v>558</v>
      </c>
      <c r="Y12" s="583"/>
      <c r="Z12" s="492">
        <f>($K19+X19)/'Enrollment &amp; Staffing'!V8</f>
        <v>14086.102611875933</v>
      </c>
      <c r="AA12" s="582" t="s">
        <v>558</v>
      </c>
      <c r="AB12" s="583"/>
      <c r="AC12" s="492">
        <f>($K19+AA19)/'Enrollment &amp; Staffing'!X8</f>
        <v>14058.097060019461</v>
      </c>
      <c r="AD12" s="583" t="s">
        <v>558</v>
      </c>
      <c r="AE12" s="583"/>
      <c r="AF12" s="492">
        <f>($K19+AD19)/'Enrollment &amp; Staffing'!AB8</f>
        <v>14266.340112476539</v>
      </c>
      <c r="AG12" s="582" t="s">
        <v>558</v>
      </c>
      <c r="AH12" s="583"/>
      <c r="AI12" s="492">
        <f>($K19+AG19)/'Enrollment &amp; Staffing'!AD8</f>
        <v>14216.40625627941</v>
      </c>
      <c r="AJ12" s="583" t="s">
        <v>558</v>
      </c>
      <c r="AK12" s="583"/>
      <c r="AL12" s="492">
        <f>($K19+AJ19)/'Enrollment &amp; Staffing'!AH8</f>
        <v>14611.941794686862</v>
      </c>
      <c r="AM12" s="582" t="s">
        <v>558</v>
      </c>
      <c r="AN12" s="583"/>
      <c r="AO12" s="492" t="e">
        <f>($K19+AM19)/'Enrollment &amp; Staffing'!$J9</f>
        <v>#DIV/0!</v>
      </c>
      <c r="AP12" s="583" t="s">
        <v>558</v>
      </c>
      <c r="AQ12" s="583"/>
      <c r="AR12" s="537" t="e">
        <f>($K19+AP19)/'Enrollment &amp; Staffing'!$J9</f>
        <v>#DIV/0!</v>
      </c>
      <c r="AS12" s="190"/>
    </row>
    <row r="13" spans="5:45" ht="16.5" outlineLevel="1" x14ac:dyDescent="0.25">
      <c r="K13" s="204" t="s">
        <v>283</v>
      </c>
      <c r="L13" s="582" t="s">
        <v>410</v>
      </c>
      <c r="M13" s="583"/>
      <c r="N13" s="205">
        <f>($K19+L$19-L135)/M$19</f>
        <v>15673.518100535613</v>
      </c>
      <c r="O13" s="582" t="s">
        <v>410</v>
      </c>
      <c r="P13" s="583"/>
      <c r="Q13" s="538">
        <f>($K19+O$19-O135)/P$19</f>
        <v>15632.50140532606</v>
      </c>
      <c r="R13" s="583" t="s">
        <v>410</v>
      </c>
      <c r="S13" s="583"/>
      <c r="T13" s="205">
        <f>($K19+R$19-R135)/S$19</f>
        <v>15865.320117541876</v>
      </c>
      <c r="U13" s="582" t="s">
        <v>410</v>
      </c>
      <c r="V13" s="583"/>
      <c r="W13" s="538">
        <f>($K19+U$19-U135)/V$19</f>
        <v>15723.585019429329</v>
      </c>
      <c r="X13" s="583" t="s">
        <v>410</v>
      </c>
      <c r="Y13" s="583"/>
      <c r="Z13" s="205">
        <f>($K19+X$19-X135)/Y$19</f>
        <v>16230.744587341074</v>
      </c>
      <c r="AA13" s="582" t="s">
        <v>410</v>
      </c>
      <c r="AB13" s="583"/>
      <c r="AC13" s="538">
        <f>($K19+AA$19-AA135)/AB$19</f>
        <v>15920.368158208708</v>
      </c>
      <c r="AD13" s="583" t="s">
        <v>410</v>
      </c>
      <c r="AE13" s="583"/>
      <c r="AF13" s="205">
        <f>($K19+AD$19-AD135)/AE$19</f>
        <v>17041.849541880605</v>
      </c>
      <c r="AG13" s="582" t="s">
        <v>410</v>
      </c>
      <c r="AH13" s="583"/>
      <c r="AI13" s="538">
        <f>($K19+AG$19-AG135)/AH$19</f>
        <v>16337.531641340449</v>
      </c>
      <c r="AJ13" s="583" t="s">
        <v>410</v>
      </c>
      <c r="AK13" s="583"/>
      <c r="AL13" s="538">
        <f>($K19+AJ$19-AJ135)/AK$19</f>
        <v>19123.63116476516</v>
      </c>
      <c r="AM13" s="582" t="s">
        <v>410</v>
      </c>
      <c r="AN13" s="583"/>
      <c r="AO13" s="538">
        <f>($K19+AM$19-AM135)/AN$19</f>
        <v>15530.759644270165</v>
      </c>
      <c r="AP13" s="583" t="s">
        <v>410</v>
      </c>
      <c r="AQ13" s="583"/>
      <c r="AR13" s="205">
        <f>($K19+AP$19-AP135)/AQ$19</f>
        <v>15534.323097426231</v>
      </c>
      <c r="AS13" s="190"/>
    </row>
    <row r="14" spans="5:45" ht="20.25" outlineLevel="1" thickBot="1" x14ac:dyDescent="0.3">
      <c r="E14" s="202"/>
      <c r="F14" s="203"/>
      <c r="K14" s="204" t="s">
        <v>283</v>
      </c>
      <c r="L14" s="588" t="s">
        <v>559</v>
      </c>
      <c r="M14" s="589"/>
      <c r="N14" s="206">
        <f>(L135)/M135</f>
        <v>10165.577842771823</v>
      </c>
      <c r="O14" s="588" t="s">
        <v>559</v>
      </c>
      <c r="P14" s="589"/>
      <c r="Q14" s="206">
        <f>(O135)/P135</f>
        <v>10166.350850552053</v>
      </c>
      <c r="R14" s="589" t="s">
        <v>559</v>
      </c>
      <c r="S14" s="589"/>
      <c r="T14" s="206">
        <f>(R135)/S135</f>
        <v>10164.827616580413</v>
      </c>
      <c r="U14" s="588" t="s">
        <v>559</v>
      </c>
      <c r="V14" s="589"/>
      <c r="W14" s="206">
        <f>(U135)/V135</f>
        <v>10164.804439582433</v>
      </c>
      <c r="X14" s="589" t="s">
        <v>559</v>
      </c>
      <c r="Y14" s="589"/>
      <c r="Z14" s="206">
        <f>(X135)/Y135</f>
        <v>10166.218733530861</v>
      </c>
      <c r="AA14" s="588" t="s">
        <v>559</v>
      </c>
      <c r="AB14" s="589"/>
      <c r="AC14" s="206">
        <f>(AA135)/AB135</f>
        <v>10166.30273035899</v>
      </c>
      <c r="AD14" s="589" t="s">
        <v>559</v>
      </c>
      <c r="AE14" s="589"/>
      <c r="AF14" s="206">
        <f>(AD135)/AE135</f>
        <v>10165.689423507387</v>
      </c>
      <c r="AG14" s="588" t="s">
        <v>559</v>
      </c>
      <c r="AH14" s="589"/>
      <c r="AI14" s="206">
        <f>(AG135)/AH135</f>
        <v>10164.848770644066</v>
      </c>
      <c r="AJ14" s="589" t="s">
        <v>559</v>
      </c>
      <c r="AK14" s="589"/>
      <c r="AL14" s="206">
        <f>(AJ135)/AK135</f>
        <v>10165.692658577014</v>
      </c>
      <c r="AM14" s="588" t="s">
        <v>559</v>
      </c>
      <c r="AN14" s="589"/>
      <c r="AO14" s="206">
        <f>(AM135)/AN135</f>
        <v>10165.684057304125</v>
      </c>
      <c r="AP14" s="589" t="s">
        <v>559</v>
      </c>
      <c r="AQ14" s="589"/>
      <c r="AR14" s="539">
        <f>(AP135)/AQ135</f>
        <v>10165.684057304125</v>
      </c>
      <c r="AS14" s="190"/>
    </row>
    <row r="15" spans="5:45" s="188" customFormat="1" ht="16.5" outlineLevel="1" thickBot="1" x14ac:dyDescent="0.3">
      <c r="E15" s="207"/>
      <c r="G15" s="185"/>
      <c r="H15" s="207"/>
      <c r="I15" s="208"/>
      <c r="K15" s="185"/>
      <c r="M15" s="189"/>
      <c r="O15" s="185"/>
      <c r="Q15" s="209"/>
      <c r="R15" s="185"/>
      <c r="S15" s="495"/>
      <c r="U15" s="540"/>
      <c r="W15" s="209"/>
      <c r="X15" s="185"/>
      <c r="AA15" s="540"/>
      <c r="AC15" s="209"/>
      <c r="AD15" s="185"/>
      <c r="AG15" s="185"/>
      <c r="AH15" s="541"/>
      <c r="AI15" s="209"/>
      <c r="AJ15" s="185"/>
      <c r="AM15" s="185"/>
      <c r="AO15" s="209"/>
      <c r="AP15" s="185"/>
      <c r="AS15" s="210"/>
    </row>
    <row r="16" spans="5:45" ht="19.5" x14ac:dyDescent="0.25">
      <c r="E16" s="202" t="s">
        <v>82</v>
      </c>
      <c r="F16" s="203"/>
      <c r="L16" s="585" t="s">
        <v>177</v>
      </c>
      <c r="M16" s="586"/>
      <c r="N16" s="587"/>
      <c r="O16" s="585" t="s">
        <v>86</v>
      </c>
      <c r="P16" s="586"/>
      <c r="Q16" s="586"/>
      <c r="R16" s="586"/>
      <c r="S16" s="586"/>
      <c r="T16" s="587"/>
      <c r="U16" s="591" t="s">
        <v>87</v>
      </c>
      <c r="V16" s="591"/>
      <c r="W16" s="591"/>
      <c r="X16" s="591"/>
      <c r="Y16" s="591"/>
      <c r="Z16" s="592"/>
      <c r="AA16" s="590" t="s">
        <v>88</v>
      </c>
      <c r="AB16" s="591"/>
      <c r="AC16" s="591"/>
      <c r="AD16" s="591"/>
      <c r="AE16" s="591"/>
      <c r="AF16" s="592"/>
      <c r="AG16" s="590" t="s">
        <v>178</v>
      </c>
      <c r="AH16" s="591"/>
      <c r="AI16" s="591"/>
      <c r="AJ16" s="591"/>
      <c r="AK16" s="591"/>
      <c r="AL16" s="592"/>
      <c r="AM16" s="590" t="s">
        <v>547</v>
      </c>
      <c r="AN16" s="591"/>
      <c r="AO16" s="591"/>
      <c r="AP16" s="591"/>
      <c r="AQ16" s="591"/>
      <c r="AR16" s="592"/>
    </row>
    <row r="17" spans="1:44" ht="17.25" thickBot="1" x14ac:dyDescent="0.35">
      <c r="A17" s="68"/>
      <c r="E17" s="191"/>
      <c r="F17" s="191"/>
      <c r="L17" s="211"/>
      <c r="M17" s="196"/>
      <c r="N17" s="199"/>
      <c r="O17" s="596" t="s">
        <v>396</v>
      </c>
      <c r="P17" s="594"/>
      <c r="Q17" s="594"/>
      <c r="R17" s="594" t="s">
        <v>397</v>
      </c>
      <c r="S17" s="594"/>
      <c r="T17" s="597"/>
      <c r="U17" s="594" t="s">
        <v>396</v>
      </c>
      <c r="V17" s="594"/>
      <c r="W17" s="594"/>
      <c r="X17" s="594" t="s">
        <v>397</v>
      </c>
      <c r="Y17" s="594"/>
      <c r="Z17" s="595"/>
      <c r="AA17" s="593" t="s">
        <v>396</v>
      </c>
      <c r="AB17" s="594"/>
      <c r="AC17" s="594"/>
      <c r="AD17" s="594" t="s">
        <v>397</v>
      </c>
      <c r="AE17" s="594"/>
      <c r="AF17" s="595"/>
      <c r="AG17" s="593" t="s">
        <v>396</v>
      </c>
      <c r="AH17" s="594"/>
      <c r="AI17" s="594"/>
      <c r="AJ17" s="594" t="s">
        <v>397</v>
      </c>
      <c r="AK17" s="594"/>
      <c r="AL17" s="595"/>
      <c r="AM17" s="593" t="s">
        <v>396</v>
      </c>
      <c r="AN17" s="594"/>
      <c r="AO17" s="594"/>
      <c r="AP17" s="594" t="s">
        <v>397</v>
      </c>
      <c r="AQ17" s="594"/>
      <c r="AR17" s="595"/>
    </row>
    <row r="18" spans="1:44" ht="16.5" thickBot="1" x14ac:dyDescent="0.3">
      <c r="B18" s="212" t="s">
        <v>195</v>
      </c>
      <c r="C18" s="213" t="s">
        <v>194</v>
      </c>
      <c r="D18" s="214" t="s">
        <v>395</v>
      </c>
      <c r="E18" s="214" t="s">
        <v>218</v>
      </c>
      <c r="F18" s="214" t="s">
        <v>219</v>
      </c>
      <c r="G18" s="214" t="s">
        <v>529</v>
      </c>
      <c r="H18" s="214" t="s">
        <v>78</v>
      </c>
      <c r="I18" s="214" t="s">
        <v>271</v>
      </c>
      <c r="J18" s="214" t="s">
        <v>272</v>
      </c>
      <c r="K18" s="214" t="s">
        <v>191</v>
      </c>
      <c r="L18" s="215" t="s">
        <v>217</v>
      </c>
      <c r="M18" s="216" t="s">
        <v>176</v>
      </c>
      <c r="N18" s="217" t="s">
        <v>221</v>
      </c>
      <c r="O18" s="218" t="s">
        <v>217</v>
      </c>
      <c r="P18" s="216" t="s">
        <v>176</v>
      </c>
      <c r="Q18" s="219" t="s">
        <v>221</v>
      </c>
      <c r="R18" s="220" t="s">
        <v>217</v>
      </c>
      <c r="S18" s="216" t="s">
        <v>176</v>
      </c>
      <c r="T18" s="217" t="s">
        <v>221</v>
      </c>
      <c r="U18" s="221" t="s">
        <v>217</v>
      </c>
      <c r="V18" s="222" t="s">
        <v>176</v>
      </c>
      <c r="W18" s="223" t="s">
        <v>221</v>
      </c>
      <c r="X18" s="221" t="s">
        <v>217</v>
      </c>
      <c r="Y18" s="222" t="s">
        <v>176</v>
      </c>
      <c r="Z18" s="224" t="s">
        <v>221</v>
      </c>
      <c r="AA18" s="225" t="s">
        <v>217</v>
      </c>
      <c r="AB18" s="222" t="s">
        <v>176</v>
      </c>
      <c r="AC18" s="223" t="s">
        <v>221</v>
      </c>
      <c r="AD18" s="221" t="s">
        <v>217</v>
      </c>
      <c r="AE18" s="222" t="s">
        <v>176</v>
      </c>
      <c r="AF18" s="224" t="s">
        <v>221</v>
      </c>
      <c r="AG18" s="225" t="s">
        <v>217</v>
      </c>
      <c r="AH18" s="222" t="s">
        <v>176</v>
      </c>
      <c r="AI18" s="223" t="s">
        <v>221</v>
      </c>
      <c r="AJ18" s="221" t="s">
        <v>217</v>
      </c>
      <c r="AK18" s="222" t="s">
        <v>176</v>
      </c>
      <c r="AL18" s="224" t="s">
        <v>221</v>
      </c>
      <c r="AM18" s="225" t="s">
        <v>217</v>
      </c>
      <c r="AN18" s="222" t="s">
        <v>176</v>
      </c>
      <c r="AO18" s="223" t="s">
        <v>221</v>
      </c>
      <c r="AP18" s="221" t="s">
        <v>217</v>
      </c>
      <c r="AQ18" s="222" t="s">
        <v>176</v>
      </c>
      <c r="AR18" s="224" t="s">
        <v>221</v>
      </c>
    </row>
    <row r="19" spans="1:44" s="226" customFormat="1" ht="30" customHeight="1" x14ac:dyDescent="0.25">
      <c r="B19" s="227" t="s">
        <v>236</v>
      </c>
      <c r="C19" s="228" t="s">
        <v>196</v>
      </c>
      <c r="D19" s="228"/>
      <c r="E19" s="229" t="s">
        <v>268</v>
      </c>
      <c r="F19" s="229" t="s">
        <v>267</v>
      </c>
      <c r="G19" s="230">
        <f>SUM(G22:G25,G27:G35,G37:G42,G45:G48,G50:G58,G60:G65,G68:G71,G73:G81,G83:G88,G91:G94,G96:G104,G106:G111,G114:G117,G119:G127,G129:G134,G137:G144,G146:G150,G152:G156,G158:G162,G164:G168)</f>
        <v>544307821.15666664</v>
      </c>
      <c r="H19" s="181" t="s">
        <v>270</v>
      </c>
      <c r="I19" s="231">
        <f>K19/G19</f>
        <v>0.24898867786047932</v>
      </c>
      <c r="J19" s="232">
        <f t="shared" ref="J19:J60" si="0">1-I19</f>
        <v>0.75101132213952071</v>
      </c>
      <c r="K19" s="230">
        <f>SUMIFS(K$19:K$168, $F$19:$F$168,$F19,$E$19:$E$168,"&lt;&gt;"&amp;$E19)</f>
        <v>135526484.73891667</v>
      </c>
      <c r="L19" s="233">
        <f t="shared" ref="L19:L60" si="1">G19*J19</f>
        <v>408781336.41775</v>
      </c>
      <c r="M19" s="460">
        <f>VLOOKUP($H19,'Cost Drivers'!$A$2:$R$66,2,FALSE)</f>
        <v>27071.666666666668</v>
      </c>
      <c r="N19" s="234">
        <f t="shared" ref="N19:N60" si="2">L19/M19</f>
        <v>15099.969331444314</v>
      </c>
      <c r="O19" s="235">
        <f>SUMIFS(O$19:O$168, $F$19:$F$168,$F19,$E$19:$E$168,"&lt;&gt;"&amp;$E19)</f>
        <v>406614299.38780588</v>
      </c>
      <c r="P19" s="478">
        <f>VLOOKUP($H19,'Cost Drivers'!$A$2:$R$66,4,FALSE)</f>
        <v>26877</v>
      </c>
      <c r="Q19" s="237">
        <f>O19/P19</f>
        <v>15128.70853844573</v>
      </c>
      <c r="R19" s="235">
        <f>SUMIFS(R$19:R$168, $F$19:$F$168,$F19,$E$19:$E$168,"&lt;&gt;"&amp;$E19)</f>
        <v>408424207.95835763</v>
      </c>
      <c r="S19" s="236">
        <f>VLOOKUP($H19,'Cost Drivers'!$A$2:$R$66,6,FALSE)</f>
        <v>26100</v>
      </c>
      <c r="T19" s="237">
        <f>R19/S19</f>
        <v>15648.437086527112</v>
      </c>
      <c r="U19" s="235">
        <f>SUMIFS(U$19:U$168, $F$19:$F$168,$F19,$E$19:$E$168,"&lt;&gt;"&amp;$E19)</f>
        <v>407965394.86634481</v>
      </c>
      <c r="V19" s="236">
        <f>VLOOKUP($H19,'Cost Drivers'!$A$2:$R$66,8,FALSE)</f>
        <v>26683</v>
      </c>
      <c r="W19" s="237">
        <f>U19/V19</f>
        <v>15289.337588215149</v>
      </c>
      <c r="X19" s="235">
        <f>SUMIFS(X$19:X$168, $F$19:$F$168,$F19,$E$19:$E$168,"&lt;&gt;"&amp;$E19)</f>
        <v>412084840.40037209</v>
      </c>
      <c r="Y19" s="236">
        <f>VLOOKUP($H19,'Cost Drivers'!$A$2:$R$66,10,FALSE)</f>
        <v>25128</v>
      </c>
      <c r="Z19" s="237">
        <f>X19/Y19</f>
        <v>16399.428541880454</v>
      </c>
      <c r="AA19" s="235">
        <f>SUMIFS(AA$19:AA$168, $F$19:$F$168,$F19,$E$19:$E$168,"&lt;&gt;"&amp;$E19)</f>
        <v>410996096.56639993</v>
      </c>
      <c r="AB19" s="236">
        <f>VLOOKUP($H19,'Cost Drivers'!$A$2:$R$66,12,FALSE)</f>
        <v>26294</v>
      </c>
      <c r="AC19" s="237">
        <f>AA19/AB19</f>
        <v>15630.793966927813</v>
      </c>
      <c r="AD19" s="235">
        <f>SUMIFS(AD$19:AD$168, $F$19:$F$168,$F19,$E$19:$E$168,"&lt;&gt;"&amp;$E19)</f>
        <v>419091753.47372127</v>
      </c>
      <c r="AE19" s="236">
        <f>VLOOKUP($H19,'Cost Drivers'!$A$2:$R$66,14,FALSE)</f>
        <v>23184</v>
      </c>
      <c r="AF19" s="237">
        <f>AD19/AE19</f>
        <v>18076.766454180524</v>
      </c>
      <c r="AG19" s="235">
        <f>SUMIFS(AG$19:AG$168, $F$19:$F$168,$F19,$E$19:$E$168,"&lt;&gt;"&amp;$E19)</f>
        <v>417150524.8802017</v>
      </c>
      <c r="AH19" s="236">
        <f>VLOOKUP($H19,'Cost Drivers'!$A$2:$R$66,16,FALSE)</f>
        <v>25517</v>
      </c>
      <c r="AI19" s="237">
        <f>AG19/AH19</f>
        <v>16347.945482627334</v>
      </c>
      <c r="AJ19" s="235">
        <f>SUMIFS(AJ$19:AJ$168, $F$19:$F$168,$F19,$E$19:$E$168,"&lt;&gt;"&amp;$E19)</f>
        <v>432527364.47132975</v>
      </c>
      <c r="AK19" s="236">
        <f>VLOOKUP($H19,'Cost Drivers'!$A$2:$R$66,18,FALSE)</f>
        <v>19296</v>
      </c>
      <c r="AL19" s="237">
        <f>AJ19/AK19</f>
        <v>22415.389949799428</v>
      </c>
      <c r="AM19" s="235">
        <f>SUMIFS(AM$19:AM$168, $F$19:$F$168,$F19,$E$19:$E$168,"&lt;&gt;"&amp;$E19)</f>
        <v>404917974.9631831</v>
      </c>
      <c r="AN19" s="236">
        <f>VLOOKUP($H19,'Cost Drivers'!$A$3:$V$67,20,FALSE)</f>
        <v>27072</v>
      </c>
      <c r="AO19" s="237">
        <f>AM19/AN19</f>
        <v>14957.07649834453</v>
      </c>
      <c r="AP19" s="235">
        <f>SUMIFS(AP$19:AP$168, $F$19:$F$168,$F19,$E$19:$E$168,"&lt;&gt;"&amp;$E19)</f>
        <v>405014444.7670241</v>
      </c>
      <c r="AQ19" s="236">
        <f>VLOOKUP($H19,'Cost Drivers'!$A$3:$V$67,22,FALSE)</f>
        <v>27072</v>
      </c>
      <c r="AR19" s="237">
        <f>AP19/AQ19</f>
        <v>14960.639951500594</v>
      </c>
    </row>
    <row r="20" spans="1:44" s="249" customFormat="1" ht="30" customHeight="1" x14ac:dyDescent="0.25">
      <c r="A20" s="182"/>
      <c r="B20" s="238" t="s">
        <v>261</v>
      </c>
      <c r="C20" s="239" t="s">
        <v>196</v>
      </c>
      <c r="D20" s="239"/>
      <c r="E20" s="240" t="s">
        <v>220</v>
      </c>
      <c r="F20" s="240" t="s">
        <v>267</v>
      </c>
      <c r="G20" s="241">
        <f>SUM(G21,G26,G36)</f>
        <v>19499509.499999996</v>
      </c>
      <c r="H20" s="181" t="s">
        <v>270</v>
      </c>
      <c r="I20" s="242">
        <f>K20/G20</f>
        <v>0.15384500608421292</v>
      </c>
      <c r="J20" s="243">
        <f t="shared" si="0"/>
        <v>0.84615499391578708</v>
      </c>
      <c r="K20" s="241">
        <f>SUMIFS(K$19:K$168,$E$19:$E$168,$E20,$F$19:$F$168,"&lt;&gt;"&amp;$F20,$C$19:$C$168,"1000")+SUMIFS(K$19:K$168,$E$19:$E$168,$E20,$F$19:$F$168,"&lt;&gt;"&amp;$F20,$C$19:$C$168,"2000")+SUMIFS(K$19:K$168,$E$19:$E$168,$E20,$F$19:$F$168,"&lt;&gt;"&amp;$F20,$C$19:$C$168,"3000")+SUMIFS(K$19:K$168,$E$19:$E$168,$E20,$F$19:$F$168,"&lt;&gt;"&amp;$F20,$C$19:$C$168,"4000")+SUMIFS(K$19:K$168,$E$19:$E$168,$E20,$F$19:$F$168,"&lt;&gt;"&amp;$F20,$C$19:$C$168,"5000")</f>
        <v>2999902.1576666669</v>
      </c>
      <c r="L20" s="244">
        <f t="shared" si="1"/>
        <v>16499607.34233333</v>
      </c>
      <c r="M20" s="461">
        <f>VLOOKUP($H20,'Cost Drivers'!$A$2:$R$66,2,FALSE)</f>
        <v>27071.666666666668</v>
      </c>
      <c r="N20" s="245">
        <f t="shared" si="2"/>
        <v>609.4788158222002</v>
      </c>
      <c r="O20" s="246">
        <f>SUMIFS(O$19:O$168, $E$19:$E$168,$E20,$C$19:$C$168,"1000")+SUMIFS(O$19:O$168, $E$19:$E$168,$E20,$C$19:$C$168,"2000")+SUMIFS(O$19:O$168, $E$19:$E$168,$E20,$C$19:$C$168,"3000")+SUMIFS(O$19:O$168, $E$19:$E$168,$E20,$C$19:$C$168,"4000")+SUMIFS(O$19:O$168, $E$19:$E$168,$E20,$C$19:$C$168,"5000")</f>
        <v>16357346.244814124</v>
      </c>
      <c r="P20" s="479">
        <f>VLOOKUP($H20,'Cost Drivers'!$A$2:$R$66,4,FALSE)</f>
        <v>26877</v>
      </c>
      <c r="Q20" s="248">
        <f>O20/P20</f>
        <v>608.60015049351205</v>
      </c>
      <c r="R20" s="246">
        <f>SUMIFS(R$19:R$168, $E$19:$E$168,$E20,$C$19:$C$168,"1000")+SUMIFS(R$19:R$168, $E$19:$E$168,$E20,$C$19:$C$168,"2000")+SUMIFS(R$19:R$168, $E$19:$E$168,$E20,$C$19:$C$168,"3000")+SUMIFS(R$19:R$168, $E$19:$E$168,$E20,$C$19:$C$168,"4000")+SUMIFS(R$19:R$168, $E$19:$E$168,$E20,$C$19:$C$168,"5000")</f>
        <v>15924698.664171387</v>
      </c>
      <c r="S20" s="247">
        <f>VLOOKUP($H20,'Cost Drivers'!$A$2:$R$66,6,FALSE)</f>
        <v>26100</v>
      </c>
      <c r="T20" s="248">
        <f>R20/S20</f>
        <v>610.14171127093437</v>
      </c>
      <c r="U20" s="246">
        <f>SUMIFS(U$19:U$168, $E$19:$E$168,$E20,$C$19:$C$168,"1000")+SUMIFS(U$19:U$168, $E$19:$E$168,$E20,$C$19:$C$168,"2000")+SUMIFS(U$19:U$168, $E$19:$E$168,$E20,$C$19:$C$168,"3000")+SUMIFS(U$19:U$168, $E$19:$E$168,$E20,$C$19:$C$168,"4000")+SUMIFS(U$19:U$168, $E$19:$E$168,$E20,$C$19:$C$168,"5000")</f>
        <v>16269370.766830154</v>
      </c>
      <c r="V20" s="247">
        <f>VLOOKUP($H20,'Cost Drivers'!$A$2:$R$66,8,FALSE)</f>
        <v>26683</v>
      </c>
      <c r="W20" s="248">
        <f>U20/V20</f>
        <v>609.72794538957965</v>
      </c>
      <c r="X20" s="246">
        <f>SUMIFS(X$19:X$168, $E$19:$E$168,$E20,$C$19:$C$168,"1000")+SUMIFS(X$19:X$168, $E$19:$E$168,$E20,$C$19:$C$168,"2000")+SUMIFS(X$19:X$168, $E$19:$E$168,$E20,$C$19:$C$168,"3000")+SUMIFS(X$19:X$168, $E$19:$E$168,$E20,$C$19:$C$168,"4000")+SUMIFS(X$19:X$168, $E$19:$E$168,$E20,$C$19:$C$168,"5000")</f>
        <v>15403716.266716948</v>
      </c>
      <c r="Y20" s="247">
        <f>VLOOKUP($H20,'Cost Drivers'!$A$2:$R$66,10,FALSE)</f>
        <v>25128</v>
      </c>
      <c r="Z20" s="248">
        <f>X20/Y20</f>
        <v>613.01003926762769</v>
      </c>
      <c r="AA20" s="246">
        <f>SUMIFS(AA$19:AA$168, $E$19:$E$168,$E20,$C$19:$C$168,"1000")+SUMIFS(AA$19:AA$168, $E$19:$E$168,$E20,$C$19:$C$168,"2000")+SUMIFS(AA$19:AA$168, $E$19:$E$168,$E20,$C$19:$C$168,"3000")+SUMIFS(AA$19:AA$168, $E$19:$E$168,$E20,$C$19:$C$168,"4000")+SUMIFS(AA$19:AA$168, $E$19:$E$168,$E20,$C$19:$C$168,"5000")</f>
        <v>16095212.705816612</v>
      </c>
      <c r="AB20" s="247">
        <f>VLOOKUP($H20,'Cost Drivers'!$A$2:$R$66,12,FALSE)</f>
        <v>26294</v>
      </c>
      <c r="AC20" s="248">
        <f>AA20/AB20</f>
        <v>612.12492225665972</v>
      </c>
      <c r="AD20" s="246">
        <f>SUMIFS(AD$19:AD$168, $E$19:$E$168,$E20,$C$19:$C$168,"1000")+SUMIFS(AD$19:AD$168, $E$19:$E$168,$E20,$C$19:$C$168,"2000")+SUMIFS(AD$19:AD$168, $E$19:$E$168,$E20,$C$19:$C$168,"3000")+SUMIFS(AD$19:AD$168, $E$19:$E$168,$E20,$C$19:$C$168,"4000")+SUMIFS(AD$19:AD$168, $E$19:$E$168,$E20,$C$19:$C$168,"5000")</f>
        <v>14356690.057026528</v>
      </c>
      <c r="AE20" s="247">
        <f>VLOOKUP($H20,'Cost Drivers'!$A$2:$R$66,14,FALSE)</f>
        <v>23184</v>
      </c>
      <c r="AF20" s="248">
        <f>AD20/AE20</f>
        <v>619.24991619334571</v>
      </c>
      <c r="AG20" s="246">
        <f>SUMIFS(AG$19:AG$168, $E$19:$E$168,$E20,$C$19:$C$168,"1000")+SUMIFS(AG$19:AG$168, $E$19:$E$168,$E20,$C$19:$C$168,"2000")+SUMIFS(AG$19:AG$168, $E$19:$E$168,$E20,$C$19:$C$168,"3000")+SUMIFS(AG$19:AG$168, $E$19:$E$168,$E20,$C$19:$C$168,"4000")+SUMIFS(AG$19:AG$168, $E$19:$E$168,$E20,$C$19:$C$168,"5000")</f>
        <v>15749600.533047967</v>
      </c>
      <c r="AH20" s="247">
        <f>VLOOKUP($H20,'Cost Drivers'!$A$2:$R$66,16,FALSE)</f>
        <v>25517</v>
      </c>
      <c r="AI20" s="248">
        <f>AG20/AH20</f>
        <v>617.21991351052111</v>
      </c>
      <c r="AJ20" s="246">
        <f>SUMIFS(AJ$19:AJ$168, $E$19:$E$168,$E20,$C$19:$C$168,"1000")+SUMIFS(AJ$19:AJ$168, $E$19:$E$168,$E20,$C$19:$C$168,"2000")+SUMIFS(AJ$19:AJ$168, $E$19:$E$168,$E20,$C$19:$C$168,"3000")+SUMIFS(AJ$19:AJ$168, $E$19:$E$168,$E20,$C$19:$C$168,"4000")+SUMIFS(AJ$19:AJ$168, $E$19:$E$168,$E20,$C$19:$C$168,"5000")</f>
        <v>12271535.191116748</v>
      </c>
      <c r="AK20" s="247">
        <f>VLOOKUP($H20,'Cost Drivers'!$A$2:$R$66,18,FALSE)</f>
        <v>19296</v>
      </c>
      <c r="AL20" s="248">
        <f>AJ20/AK20</f>
        <v>635.96264464742683</v>
      </c>
      <c r="AM20" s="246">
        <f>SUMIFS(AM$19:AM$168, $E$19:$E$168,$E20,$C$19:$C$168,"1000")+SUMIFS(AM$19:AM$168, $E$19:$E$168,$E20,$C$19:$C$168,"2000")+SUMIFS(AM$19:AM$168, $E$19:$E$168,$E20,$C$19:$C$168,"3000")+SUMIFS(AM$19:AM$168, $E$19:$E$168,$E20,$C$19:$C$168,"4000")+SUMIFS(AM$19:AM$168, $E$19:$E$168,$E20,$C$19:$C$168,"5000")</f>
        <v>16461201.249692656</v>
      </c>
      <c r="AN20" s="247">
        <f>VLOOKUP($H20,'Cost Drivers'!$A$3:$V$67,20,FALSE)</f>
        <v>27072</v>
      </c>
      <c r="AO20" s="248">
        <f>AM20/AN20</f>
        <v>608.05264663462822</v>
      </c>
      <c r="AP20" s="246">
        <f>SUMIFS(AP$19:AP$168, $E$19:$E$168,$E20,$C$19:$C$168,"1000")+SUMIFS(AP$19:AP$168, $E$19:$E$168,$E20,$C$19:$C$168,"2000")+SUMIFS(AP$19:AP$168, $E$19:$E$168,$E20,$C$19:$C$168,"3000")+SUMIFS(AP$19:AP$168, $E$19:$E$168,$E20,$C$19:$C$168,"4000")+SUMIFS(AP$19:AP$168, $E$19:$E$168,$E20,$C$19:$C$168,"5000")</f>
        <v>16460073.187150117</v>
      </c>
      <c r="AQ20" s="247">
        <f>VLOOKUP($H20,'Cost Drivers'!$A$3:$V$67,22,FALSE)</f>
        <v>27072</v>
      </c>
      <c r="AR20" s="248">
        <f>AP20/AQ20</f>
        <v>608.01097765773181</v>
      </c>
    </row>
    <row r="21" spans="1:44" outlineLevel="1" x14ac:dyDescent="0.25">
      <c r="B21" s="250" t="s">
        <v>261</v>
      </c>
      <c r="C21" s="251" t="s">
        <v>238</v>
      </c>
      <c r="D21" s="182">
        <f>FLOOR(LEFT(C21,4), 1000)</f>
        <v>1000</v>
      </c>
      <c r="E21" s="252" t="s">
        <v>220</v>
      </c>
      <c r="F21" s="252" t="s">
        <v>234</v>
      </c>
      <c r="G21" s="253">
        <f>SUM(G22:G25)</f>
        <v>3396754.3649999993</v>
      </c>
      <c r="H21" s="181" t="s">
        <v>270</v>
      </c>
      <c r="I21" s="254">
        <f>K21/G21</f>
        <v>0.10000000000000002</v>
      </c>
      <c r="J21" s="255">
        <f t="shared" si="0"/>
        <v>0.9</v>
      </c>
      <c r="K21" s="256">
        <f>SUMIFS(K$19:K$168, $B$19:$B$168,$B21,$D$19:$D$168,$C21,$F$19:$F$168,"&lt;&gt;"&amp;$F21)</f>
        <v>339675.43650000001</v>
      </c>
      <c r="L21" s="257">
        <f t="shared" si="1"/>
        <v>3057078.9284999995</v>
      </c>
      <c r="M21" s="462">
        <f>VLOOKUP($H21,'Cost Drivers'!$A$2:$R$66,2,FALSE)</f>
        <v>27071.666666666668</v>
      </c>
      <c r="N21" s="258">
        <f t="shared" si="2"/>
        <v>112.92540522686693</v>
      </c>
      <c r="O21" s="253">
        <f>SUMIFS(O$19:O$168, $B$19:$B$168,$B21,$D$19:$D$168,$C21,$F$19:$F$168,"&lt;&gt;"&amp;$F21)</f>
        <v>3032179.0434785355</v>
      </c>
      <c r="P21" s="480">
        <f>VLOOKUP($H21,'Cost Drivers'!$A$2:$R$66,4,FALSE)</f>
        <v>26877</v>
      </c>
      <c r="Q21" s="259">
        <f>O21/P21</f>
        <v>112.81687105995965</v>
      </c>
      <c r="R21" s="253">
        <f>SUMIFS(R$19:R$168, $B$19:$B$168,$B21,$D$19:$D$168,$C21,$F$19:$F$168,"&lt;&gt;"&amp;$F21)</f>
        <v>2945333.4459825754</v>
      </c>
      <c r="S21" s="182">
        <f>VLOOKUP($H21,'Cost Drivers'!$A$2:$R$66,6,FALSE)</f>
        <v>26100</v>
      </c>
      <c r="T21" s="259">
        <f>R21/S21</f>
        <v>112.84802475029025</v>
      </c>
      <c r="U21" s="253">
        <f>SUMIFS(U$19:U$168, $B$19:$B$168,$B21,$D$19:$D$168,$C21,$F$19:$F$168,"&lt;&gt;"&amp;$F21)</f>
        <v>3011510.7705316413</v>
      </c>
      <c r="V21" s="182">
        <f>VLOOKUP($H21,'Cost Drivers'!$A$2:$R$66,8,FALSE)</f>
        <v>26683</v>
      </c>
      <c r="W21" s="259">
        <f>U21/V21</f>
        <v>112.86252559800776</v>
      </c>
      <c r="X21" s="253">
        <f>SUMIFS(X$19:X$168, $B$19:$B$168,$B21,$D$19:$D$168,$C21,$F$19:$F$168,"&lt;&gt;"&amp;$F21)</f>
        <v>2837520.0252959467</v>
      </c>
      <c r="Y21" s="182">
        <f>VLOOKUP($H21,'Cost Drivers'!$A$2:$R$66,10,FALSE)</f>
        <v>25128</v>
      </c>
      <c r="Z21" s="259">
        <f>X21/Y21</f>
        <v>112.92263710983551</v>
      </c>
      <c r="AA21" s="253">
        <f>SUMIFS(AA$19:AA$168, $B$19:$B$168,$B21,$D$19:$D$168,$C21,$F$19:$F$168,"&lt;&gt;"&amp;$F21)</f>
        <v>2970067.6871484364</v>
      </c>
      <c r="AB21" s="182">
        <f>VLOOKUP($H21,'Cost Drivers'!$A$2:$R$66,12,FALSE)</f>
        <v>26294</v>
      </c>
      <c r="AC21" s="259">
        <f>AA21/AB21</f>
        <v>112.95609976224372</v>
      </c>
      <c r="AD21" s="253">
        <f>SUMIFS(AD$19:AD$168, $B$19:$B$168,$B21,$D$19:$D$168,$C21,$F$19:$F$168,"&lt;&gt;"&amp;$F21)</f>
        <v>2621893.1839226894</v>
      </c>
      <c r="AE21" s="182">
        <f>VLOOKUP($H21,'Cost Drivers'!$A$2:$R$66,14,FALSE)</f>
        <v>23184</v>
      </c>
      <c r="AF21" s="259">
        <f>AD21/AE21</f>
        <v>113.09063077651352</v>
      </c>
      <c r="AG21" s="253">
        <f>SUMIFS(AG$19:AG$168, $B$19:$B$168,$B21,$D$19:$D$168,$C21,$F$19:$F$168,"&lt;&gt;"&amp;$F21)</f>
        <v>2887288.0578714428</v>
      </c>
      <c r="AH21" s="182">
        <f>VLOOKUP($H21,'Cost Drivers'!$A$2:$R$66,16,FALSE)</f>
        <v>25517</v>
      </c>
      <c r="AI21" s="259">
        <f>AG21/AH21</f>
        <v>113.15154829609448</v>
      </c>
      <c r="AJ21" s="253">
        <f>SUMIFS(AJ$19:AJ$168, $B$19:$B$168,$B21,$D$19:$D$168,$C21,$F$19:$F$168,"&lt;&gt;"&amp;$F21)</f>
        <v>2190650.5689841895</v>
      </c>
      <c r="AK21" s="182">
        <f>VLOOKUP($H21,'Cost Drivers'!$A$2:$R$66,18,FALSE)</f>
        <v>19296</v>
      </c>
      <c r="AL21" s="259">
        <f>AJ21/AK21</f>
        <v>113.5287401007561</v>
      </c>
      <c r="AM21" s="253">
        <f>SUMIFS(AM$19:AM$168, $B$19:$B$168,$B21,$D$19:$D$168,$C21,$F$19:$F$168,"&lt;&gt;"&amp;$F21)</f>
        <v>3052918.3414183743</v>
      </c>
      <c r="AN21" s="182">
        <f>VLOOKUP($H21,'Cost Drivers'!$A$3:$V$67,20,FALSE)</f>
        <v>27072</v>
      </c>
      <c r="AO21" s="259">
        <f>AM21/AN21</f>
        <v>112.77032880534775</v>
      </c>
      <c r="AP21" s="253">
        <f>SUMIFS(AP$19:AP$168, $B$19:$B$168,$B21,$D$19:$D$168,$C21,$F$19:$F$168,"&lt;&gt;"&amp;$F21)</f>
        <v>3053107.6649033944</v>
      </c>
      <c r="AQ21" s="182">
        <f>VLOOKUP($H21,'Cost Drivers'!$A$3:$V$67,22,FALSE)</f>
        <v>27072</v>
      </c>
      <c r="AR21" s="259">
        <f>AP21/AQ21</f>
        <v>112.77732213738898</v>
      </c>
    </row>
    <row r="22" spans="1:44" outlineLevel="1" x14ac:dyDescent="0.25">
      <c r="B22" s="260" t="s">
        <v>261</v>
      </c>
      <c r="C22" s="261" t="s">
        <v>239</v>
      </c>
      <c r="D22" s="182">
        <f t="shared" ref="D22:D85" si="3">FLOOR(LEFT(C22,4), 1000)</f>
        <v>1000</v>
      </c>
      <c r="E22" s="262" t="s">
        <v>220</v>
      </c>
      <c r="F22" s="262" t="s">
        <v>175</v>
      </c>
      <c r="G22" s="287">
        <v>2657291.5599999996</v>
      </c>
      <c r="H22" s="180" t="s">
        <v>320</v>
      </c>
      <c r="I22" s="135">
        <v>0.1</v>
      </c>
      <c r="J22" s="255">
        <f t="shared" si="0"/>
        <v>0.9</v>
      </c>
      <c r="K22" s="263">
        <f>G22*I22</f>
        <v>265729.15599999996</v>
      </c>
      <c r="L22" s="257">
        <f t="shared" si="1"/>
        <v>2391562.4039999996</v>
      </c>
      <c r="M22" s="462">
        <f>VLOOKUP($H22,'Cost Drivers'!$A$2:$R$66,2,FALSE)</f>
        <v>41</v>
      </c>
      <c r="N22" s="258">
        <f t="shared" si="2"/>
        <v>58330.790341463406</v>
      </c>
      <c r="O22" s="187">
        <f>P22*Q22</f>
        <v>2374365.1812709961</v>
      </c>
      <c r="P22" s="480">
        <f>VLOOKUP($H22,'Cost Drivers'!$A$2:$R$66,4,FALSE)</f>
        <v>40.705177614972598</v>
      </c>
      <c r="Q22" s="264">
        <f>$N22</f>
        <v>58330.790341463406</v>
      </c>
      <c r="R22" s="187">
        <f>S22*T22</f>
        <v>2305723.5268509504</v>
      </c>
      <c r="S22" s="182">
        <f>VLOOKUP($H22,'Cost Drivers'!$A$2:$R$66,6,FALSE)</f>
        <v>39.528412239118381</v>
      </c>
      <c r="T22" s="264">
        <f>$N22</f>
        <v>58330.790341463406</v>
      </c>
      <c r="U22" s="187">
        <f>V22*W22</f>
        <v>2357226.8531403798</v>
      </c>
      <c r="V22" s="182">
        <f>VLOOKUP($H22,'Cost Drivers'!$A$2:$R$66,8,FALSE)</f>
        <v>40.411364895647353</v>
      </c>
      <c r="W22" s="264">
        <f>$N22</f>
        <v>58330.790341463406</v>
      </c>
      <c r="X22" s="187">
        <f>Y22*Z22</f>
        <v>2219855.2024027081</v>
      </c>
      <c r="Y22" s="182">
        <f>VLOOKUP($H22,'Cost Drivers'!$A$2:$R$66,10,FALSE)</f>
        <v>38.056319645385699</v>
      </c>
      <c r="Z22" s="264">
        <f>$N22</f>
        <v>58330.790341463406</v>
      </c>
      <c r="AA22" s="187">
        <f>AB22*AC22</f>
        <v>2322861.8549815668</v>
      </c>
      <c r="AB22" s="182">
        <f>VLOOKUP($H22,'Cost Drivers'!$A$2:$R$66,12,FALSE)</f>
        <v>39.822224958443634</v>
      </c>
      <c r="AC22" s="264">
        <f>$N22</f>
        <v>58330.790341463406</v>
      </c>
      <c r="AD22" s="187">
        <f>AE22*AF22</f>
        <v>2048118.553506224</v>
      </c>
      <c r="AE22" s="182">
        <f>VLOOKUP($H22,'Cost Drivers'!$A$2:$R$66,14,FALSE)</f>
        <v>35.112134457920334</v>
      </c>
      <c r="AF22" s="264">
        <f>$N22</f>
        <v>58330.790341463406</v>
      </c>
      <c r="AG22" s="187">
        <f>AH22*AI22</f>
        <v>2254220.2005615211</v>
      </c>
      <c r="AH22" s="182">
        <f>VLOOKUP($H22,'Cost Drivers'!$A$2:$R$66,16,FALSE)</f>
        <v>38.645459582589417</v>
      </c>
      <c r="AI22" s="264">
        <f>$N22</f>
        <v>58330.790341463406</v>
      </c>
      <c r="AJ22" s="187">
        <f>AK22*AL22</f>
        <v>1704645.2557132547</v>
      </c>
      <c r="AK22" s="182">
        <f>VLOOKUP($H22,'Cost Drivers'!$A$2:$R$66,18,FALSE)</f>
        <v>29.223764082989597</v>
      </c>
      <c r="AL22" s="264">
        <f>$N22</f>
        <v>58330.790341463406</v>
      </c>
      <c r="AM22" s="187">
        <f>AN22*AO22</f>
        <v>2391562.4039999996</v>
      </c>
      <c r="AN22" s="182">
        <f>VLOOKUP($H22,'Cost Drivers'!$A$3:$V$67,20,FALSE)</f>
        <v>41</v>
      </c>
      <c r="AO22" s="264">
        <f>$N22</f>
        <v>58330.790341463406</v>
      </c>
      <c r="AP22" s="187">
        <f>AQ22*AR22</f>
        <v>2391562.4039999996</v>
      </c>
      <c r="AQ22" s="182">
        <f>VLOOKUP($H22,'Cost Drivers'!$A$3:$V$67,22,FALSE)</f>
        <v>41</v>
      </c>
      <c r="AR22" s="264">
        <f>$N22</f>
        <v>58330.790341463406</v>
      </c>
    </row>
    <row r="23" spans="1:44" outlineLevel="1" x14ac:dyDescent="0.25">
      <c r="B23" s="260" t="s">
        <v>261</v>
      </c>
      <c r="C23" s="261" t="s">
        <v>240</v>
      </c>
      <c r="D23" s="182">
        <f t="shared" si="3"/>
        <v>1000</v>
      </c>
      <c r="E23" s="262" t="s">
        <v>220</v>
      </c>
      <c r="F23" s="262" t="s">
        <v>193</v>
      </c>
      <c r="G23" s="287">
        <v>181026.63833333331</v>
      </c>
      <c r="H23" s="180" t="s">
        <v>539</v>
      </c>
      <c r="I23" s="135">
        <v>0.1</v>
      </c>
      <c r="J23" s="255">
        <f t="shared" si="0"/>
        <v>0.9</v>
      </c>
      <c r="K23" s="263">
        <f t="shared" ref="K23:K25" si="4">G23*I23</f>
        <v>18102.663833333332</v>
      </c>
      <c r="L23" s="257">
        <f t="shared" si="1"/>
        <v>162923.97449999998</v>
      </c>
      <c r="M23" s="462">
        <f>VLOOKUP($H23,'Cost Drivers'!$A$2:$R$66,2,FALSE)</f>
        <v>4045</v>
      </c>
      <c r="N23" s="258">
        <f t="shared" si="2"/>
        <v>40.277867614338682</v>
      </c>
      <c r="O23" s="187">
        <f t="shared" ref="O23:O35" si="5">P23*Q23</f>
        <v>159057.29920902342</v>
      </c>
      <c r="P23" s="480">
        <f>VLOOKUP($H23,'Cost Drivers'!$A$2:$R$66,4,FALSE)</f>
        <v>3948.9999999999991</v>
      </c>
      <c r="Q23" s="264">
        <f t="shared" ref="Q23:T25" si="6">$N23</f>
        <v>40.277867614338682</v>
      </c>
      <c r="R23" s="187">
        <f t="shared" ref="R23:R25" si="7">S23*T23</f>
        <v>155553.124726576</v>
      </c>
      <c r="S23" s="182">
        <f>VLOOKUP($H23,'Cost Drivers'!$A$2:$R$66,6,FALSE)</f>
        <v>3862</v>
      </c>
      <c r="T23" s="264">
        <f t="shared" si="6"/>
        <v>40.277867614338682</v>
      </c>
      <c r="U23" s="187">
        <f t="shared" ref="U23:U25" si="8">V23*W23</f>
        <v>159057.29920902342</v>
      </c>
      <c r="V23" s="182">
        <f>VLOOKUP($H23,'Cost Drivers'!$A$2:$R$66,8,FALSE)</f>
        <v>3948.9999999999991</v>
      </c>
      <c r="W23" s="264">
        <f t="shared" ref="W23:Z25" si="9">$N23</f>
        <v>40.277867614338682</v>
      </c>
      <c r="X23" s="187">
        <f t="shared" ref="X23:X25" si="10">Y23*Z23</f>
        <v>151525.33796514213</v>
      </c>
      <c r="Y23" s="182">
        <f>VLOOKUP($H23,'Cost Drivers'!$A$2:$R$66,10,FALSE)</f>
        <v>3762</v>
      </c>
      <c r="Z23" s="264">
        <f t="shared" si="9"/>
        <v>40.277867614338682</v>
      </c>
      <c r="AA23" s="187">
        <f t="shared" ref="AA23:AA25" si="11">AB23*AC23</f>
        <v>159057.29920902342</v>
      </c>
      <c r="AB23" s="182">
        <f>VLOOKUP($H23,'Cost Drivers'!$A$2:$R$66,12,FALSE)</f>
        <v>3948.9999999999991</v>
      </c>
      <c r="AC23" s="264">
        <f t="shared" ref="AC23:AF25" si="12">$N23</f>
        <v>40.277867614338682</v>
      </c>
      <c r="AD23" s="187">
        <f t="shared" ref="AD23:AD25" si="13">AE23*AF23</f>
        <v>143469.76444227438</v>
      </c>
      <c r="AE23" s="182">
        <f>VLOOKUP($H23,'Cost Drivers'!$A$2:$R$66,14,FALSE)</f>
        <v>3562</v>
      </c>
      <c r="AF23" s="264">
        <f t="shared" si="12"/>
        <v>40.277867614338682</v>
      </c>
      <c r="AG23" s="187">
        <f t="shared" ref="AG23:AG25" si="14">AH23*AI23</f>
        <v>159057.29920902342</v>
      </c>
      <c r="AH23" s="182">
        <f>VLOOKUP($H23,'Cost Drivers'!$A$2:$R$66,16,FALSE)</f>
        <v>3948.9999999999991</v>
      </c>
      <c r="AI23" s="264">
        <f t="shared" ref="AI23:AL25" si="15">$N23</f>
        <v>40.277867614338682</v>
      </c>
      <c r="AJ23" s="187">
        <f t="shared" ref="AJ23:AJ25" si="16">AK23*AL23</f>
        <v>127358.61739653892</v>
      </c>
      <c r="AK23" s="182">
        <f>VLOOKUP($H23,'Cost Drivers'!$A$2:$R$66,18,FALSE)</f>
        <v>3162</v>
      </c>
      <c r="AL23" s="264">
        <f t="shared" si="15"/>
        <v>40.277867614338682</v>
      </c>
      <c r="AM23" s="187">
        <f t="shared" ref="AM23:AM25" si="17">AN23*AO23</f>
        <v>159057.29920902342</v>
      </c>
      <c r="AN23" s="182">
        <f>VLOOKUP($H23,'Cost Drivers'!$A$3:$V$67,20,FALSE)</f>
        <v>3948.9999999999991</v>
      </c>
      <c r="AO23" s="264">
        <f t="shared" ref="AO23:AR25" si="18">$N23</f>
        <v>40.277867614338682</v>
      </c>
      <c r="AP23" s="187">
        <f t="shared" ref="AP23:AP25" si="19">AQ23*AR23</f>
        <v>159580.91148800985</v>
      </c>
      <c r="AQ23" s="182">
        <f>VLOOKUP($H23,'Cost Drivers'!$A$3:$V$67,22,FALSE)</f>
        <v>3962</v>
      </c>
      <c r="AR23" s="264">
        <f t="shared" si="18"/>
        <v>40.277867614338682</v>
      </c>
    </row>
    <row r="24" spans="1:44" outlineLevel="1" x14ac:dyDescent="0.25">
      <c r="B24" s="260" t="s">
        <v>261</v>
      </c>
      <c r="C24" s="261" t="s">
        <v>241</v>
      </c>
      <c r="D24" s="182">
        <f t="shared" si="3"/>
        <v>1000</v>
      </c>
      <c r="E24" s="262" t="s">
        <v>220</v>
      </c>
      <c r="F24" s="262" t="s">
        <v>197</v>
      </c>
      <c r="G24" s="287">
        <v>11119.503333333334</v>
      </c>
      <c r="H24" s="180" t="s">
        <v>536</v>
      </c>
      <c r="I24" s="135">
        <v>0.1</v>
      </c>
      <c r="J24" s="255">
        <f t="shared" si="0"/>
        <v>0.9</v>
      </c>
      <c r="K24" s="263">
        <f t="shared" si="4"/>
        <v>1111.9503333333334</v>
      </c>
      <c r="L24" s="257">
        <f t="shared" si="1"/>
        <v>10007.553000000002</v>
      </c>
      <c r="M24" s="462">
        <f>VLOOKUP($H24,'Cost Drivers'!$A$2:$R$66,2,FALSE)</f>
        <v>8137.833333333333</v>
      </c>
      <c r="N24" s="258">
        <f t="shared" si="2"/>
        <v>1.2297564462285213</v>
      </c>
      <c r="O24" s="187">
        <f t="shared" si="5"/>
        <v>9713.6412093513864</v>
      </c>
      <c r="P24" s="480">
        <f>VLOOKUP($H24,'Cost Drivers'!$A$2:$R$66,4,FALSE)</f>
        <v>7898.8333333333339</v>
      </c>
      <c r="Q24" s="264">
        <f t="shared" si="6"/>
        <v>1.2297564462285213</v>
      </c>
      <c r="R24" s="187">
        <f t="shared" si="7"/>
        <v>9151.8474728326564</v>
      </c>
      <c r="S24" s="182">
        <f>VLOOKUP($H24,'Cost Drivers'!$A$2:$R$66,6,FALSE)</f>
        <v>7442</v>
      </c>
      <c r="T24" s="264">
        <f t="shared" si="6"/>
        <v>1.2297564462285213</v>
      </c>
      <c r="U24" s="187">
        <f t="shared" si="8"/>
        <v>9713.6412093513864</v>
      </c>
      <c r="V24" s="182">
        <f>VLOOKUP($H24,'Cost Drivers'!$A$2:$R$66,8,FALSE)</f>
        <v>7898.8333333333339</v>
      </c>
      <c r="W24" s="264">
        <f t="shared" si="9"/>
        <v>1.2297564462285213</v>
      </c>
      <c r="X24" s="187">
        <f t="shared" si="10"/>
        <v>8920.6532609416936</v>
      </c>
      <c r="Y24" s="182">
        <f>VLOOKUP($H24,'Cost Drivers'!$A$2:$R$66,10,FALSE)</f>
        <v>7254</v>
      </c>
      <c r="Z24" s="264">
        <f t="shared" si="9"/>
        <v>1.2297564462285213</v>
      </c>
      <c r="AA24" s="187">
        <f t="shared" si="11"/>
        <v>9713.6412093513864</v>
      </c>
      <c r="AB24" s="182">
        <f>VLOOKUP($H24,'Cost Drivers'!$A$2:$R$66,12,FALSE)</f>
        <v>7898.8333333333339</v>
      </c>
      <c r="AC24" s="264">
        <f t="shared" si="12"/>
        <v>1.2297564462285213</v>
      </c>
      <c r="AD24" s="187">
        <f t="shared" si="13"/>
        <v>8458.2648371597697</v>
      </c>
      <c r="AE24" s="182">
        <f>VLOOKUP($H24,'Cost Drivers'!$A$2:$R$66,14,FALSE)</f>
        <v>6878</v>
      </c>
      <c r="AF24" s="264">
        <f t="shared" si="12"/>
        <v>1.2297564462285213</v>
      </c>
      <c r="AG24" s="187">
        <f t="shared" si="14"/>
        <v>9713.6412093513864</v>
      </c>
      <c r="AH24" s="182">
        <f>VLOOKUP($H24,'Cost Drivers'!$A$2:$R$66,16,FALSE)</f>
        <v>7898.8333333333339</v>
      </c>
      <c r="AI24" s="264">
        <f t="shared" si="15"/>
        <v>1.2297564462285213</v>
      </c>
      <c r="AJ24" s="187">
        <f t="shared" si="16"/>
        <v>7544.5557976119781</v>
      </c>
      <c r="AK24" s="182">
        <f>VLOOKUP($H24,'Cost Drivers'!$A$2:$R$66,18,FALSE)</f>
        <v>6135</v>
      </c>
      <c r="AL24" s="264">
        <f t="shared" si="15"/>
        <v>1.2297564462285213</v>
      </c>
      <c r="AM24" s="187">
        <f t="shared" si="17"/>
        <v>9713.6412093513864</v>
      </c>
      <c r="AN24" s="182">
        <f>VLOOKUP($H24,'Cost Drivers'!$A$3:$V$67,20,FALSE)</f>
        <v>7898.8333333333339</v>
      </c>
      <c r="AO24" s="264">
        <f t="shared" si="18"/>
        <v>1.2297564462285213</v>
      </c>
      <c r="AP24" s="187">
        <f t="shared" si="19"/>
        <v>9379.3524153849321</v>
      </c>
      <c r="AQ24" s="182">
        <f>VLOOKUP($H24,'Cost Drivers'!$A$3:$V$67,22,FALSE)</f>
        <v>7627</v>
      </c>
      <c r="AR24" s="264">
        <f t="shared" si="18"/>
        <v>1.2297564462285213</v>
      </c>
    </row>
    <row r="25" spans="1:44" outlineLevel="1" x14ac:dyDescent="0.25">
      <c r="B25" s="260" t="s">
        <v>261</v>
      </c>
      <c r="C25" s="261" t="s">
        <v>232</v>
      </c>
      <c r="D25" s="182">
        <f t="shared" si="3"/>
        <v>1000</v>
      </c>
      <c r="E25" s="262" t="s">
        <v>220</v>
      </c>
      <c r="F25" s="262" t="s">
        <v>233</v>
      </c>
      <c r="G25" s="287">
        <v>547316.66333333333</v>
      </c>
      <c r="H25" s="180" t="s">
        <v>320</v>
      </c>
      <c r="I25" s="135">
        <v>0.1</v>
      </c>
      <c r="J25" s="255">
        <f t="shared" si="0"/>
        <v>0.9</v>
      </c>
      <c r="K25" s="263">
        <f t="shared" si="4"/>
        <v>54731.666333333334</v>
      </c>
      <c r="L25" s="257">
        <f t="shared" si="1"/>
        <v>492584.99700000003</v>
      </c>
      <c r="M25" s="462">
        <f>VLOOKUP($H25,'Cost Drivers'!$A$2:$R$66,2,FALSE)</f>
        <v>41</v>
      </c>
      <c r="N25" s="258">
        <f t="shared" si="2"/>
        <v>12014.268219512196</v>
      </c>
      <c r="O25" s="187">
        <f t="shared" si="5"/>
        <v>489042.92178916454</v>
      </c>
      <c r="P25" s="480">
        <f>VLOOKUP($H25,'Cost Drivers'!$A$2:$R$66,4,FALSE)</f>
        <v>40.705177614972598</v>
      </c>
      <c r="Q25" s="264">
        <f t="shared" si="6"/>
        <v>12014.268219512196</v>
      </c>
      <c r="R25" s="187">
        <f t="shared" si="7"/>
        <v>474904.94693221687</v>
      </c>
      <c r="S25" s="182">
        <f>VLOOKUP($H25,'Cost Drivers'!$A$2:$R$66,6,FALSE)</f>
        <v>39.528412239118381</v>
      </c>
      <c r="T25" s="264">
        <f t="shared" si="6"/>
        <v>12014.268219512196</v>
      </c>
      <c r="U25" s="187">
        <f t="shared" si="8"/>
        <v>485512.97697288677</v>
      </c>
      <c r="V25" s="182">
        <f>VLOOKUP($H25,'Cost Drivers'!$A$2:$R$66,8,FALSE)</f>
        <v>40.411364895647353</v>
      </c>
      <c r="W25" s="264">
        <f t="shared" si="9"/>
        <v>12014.268219512196</v>
      </c>
      <c r="X25" s="187">
        <f t="shared" si="10"/>
        <v>457218.83166715503</v>
      </c>
      <c r="Y25" s="182">
        <f>VLOOKUP($H25,'Cost Drivers'!$A$2:$R$66,10,FALSE)</f>
        <v>38.056319645385699</v>
      </c>
      <c r="Z25" s="264">
        <f t="shared" si="9"/>
        <v>12014.268219512196</v>
      </c>
      <c r="AA25" s="187">
        <f t="shared" si="11"/>
        <v>478434.89174849476</v>
      </c>
      <c r="AB25" s="182">
        <f>VLOOKUP($H25,'Cost Drivers'!$A$2:$R$66,12,FALSE)</f>
        <v>39.822224958443634</v>
      </c>
      <c r="AC25" s="264">
        <f t="shared" si="12"/>
        <v>12014.268219512196</v>
      </c>
      <c r="AD25" s="187">
        <f t="shared" si="13"/>
        <v>421846.60113703134</v>
      </c>
      <c r="AE25" s="182">
        <f>VLOOKUP($H25,'Cost Drivers'!$A$2:$R$66,14,FALSE)</f>
        <v>35.112134457920334</v>
      </c>
      <c r="AF25" s="264">
        <f t="shared" si="12"/>
        <v>12014.268219512196</v>
      </c>
      <c r="AG25" s="187">
        <f t="shared" si="14"/>
        <v>464296.91689154709</v>
      </c>
      <c r="AH25" s="182">
        <f>VLOOKUP($H25,'Cost Drivers'!$A$2:$R$66,16,FALSE)</f>
        <v>38.645459582589417</v>
      </c>
      <c r="AI25" s="264">
        <f t="shared" si="15"/>
        <v>12014.268219512196</v>
      </c>
      <c r="AJ25" s="187">
        <f t="shared" si="16"/>
        <v>351102.14007678389</v>
      </c>
      <c r="AK25" s="182">
        <f>VLOOKUP($H25,'Cost Drivers'!$A$2:$R$66,18,FALSE)</f>
        <v>29.223764082989597</v>
      </c>
      <c r="AL25" s="264">
        <f t="shared" si="15"/>
        <v>12014.268219512196</v>
      </c>
      <c r="AM25" s="187">
        <f t="shared" si="17"/>
        <v>492584.99700000003</v>
      </c>
      <c r="AN25" s="182">
        <f>VLOOKUP($H25,'Cost Drivers'!$A$3:$V$67,20,FALSE)</f>
        <v>41</v>
      </c>
      <c r="AO25" s="264">
        <f t="shared" si="18"/>
        <v>12014.268219512196</v>
      </c>
      <c r="AP25" s="187">
        <f t="shared" si="19"/>
        <v>492584.99700000003</v>
      </c>
      <c r="AQ25" s="182">
        <f>VLOOKUP($H25,'Cost Drivers'!$A$3:$V$67,22,FALSE)</f>
        <v>41</v>
      </c>
      <c r="AR25" s="264">
        <f t="shared" si="18"/>
        <v>12014.268219512196</v>
      </c>
    </row>
    <row r="26" spans="1:44" outlineLevel="1" x14ac:dyDescent="0.25">
      <c r="B26" s="250" t="s">
        <v>261</v>
      </c>
      <c r="C26" s="251" t="s">
        <v>242</v>
      </c>
      <c r="D26" s="182">
        <f t="shared" si="3"/>
        <v>2000</v>
      </c>
      <c r="E26" s="252" t="s">
        <v>220</v>
      </c>
      <c r="F26" s="252" t="s">
        <v>237</v>
      </c>
      <c r="G26" s="253">
        <f>SUM(G27:G35)</f>
        <v>15684634.371666666</v>
      </c>
      <c r="H26" s="181" t="s">
        <v>270</v>
      </c>
      <c r="I26" s="254">
        <f>K26/G26</f>
        <v>0.1505263384036277</v>
      </c>
      <c r="J26" s="255">
        <f t="shared" si="0"/>
        <v>0.84947366159637228</v>
      </c>
      <c r="K26" s="256">
        <f>SUMIFS(K$19:K$168, $B$19:$B$168,$B26,$D$19:$D$168,$C26,$F$19:$F$168,"&lt;&gt;"&amp;$F26)</f>
        <v>2360950.5811666669</v>
      </c>
      <c r="L26" s="257">
        <f t="shared" si="1"/>
        <v>13323683.790499998</v>
      </c>
      <c r="M26" s="462">
        <f>VLOOKUP($H26,'Cost Drivers'!$A$2:$R$66,2,FALSE)</f>
        <v>27071.666666666668</v>
      </c>
      <c r="N26" s="258">
        <f t="shared" si="2"/>
        <v>492.16341034907339</v>
      </c>
      <c r="O26" s="256">
        <f>SUMIFS(O$19:O$168, $E$19:$E$168,$E26,$C$19:$C$168,"2100")+SUMIFS(O$19:O$168, $E$19:$E$168,$E26,$C$19:$C$168,"2200")+SUMIFS(O$19:O$168, $E$19:$E$168,$E26,$C$19:$C$168,"2300")+SUMIFS(O$19:O$168, $E$19:$E$168,$E26,$C$19:$C$168,"2400")+SUMIFS(O$19:O$168, $E$19:$E$168,$E26,$C$19:$C$168,"2500")+SUMIFS(O$19:O$168, $E$19:$E$168,$E26,$C$19:$C$168,"2600")+SUMIFS(O$19:O$168, $E$19:$E$168,$E26,$C$19:$C$168,"2700")+SUMIFS(O$19:O$168, $E$19:$E$168,$E26,$C$19:$C$168,"2800")+SUMIFS(O$19:O$168, $E$19:$E$168,$E26,$C$19:$C$168,"2900")</f>
        <v>13207787.447689191</v>
      </c>
      <c r="P26" s="480">
        <f>VLOOKUP($H26,'Cost Drivers'!$A$2:$R$66,4,FALSE)</f>
        <v>26877</v>
      </c>
      <c r="Q26" s="264">
        <f>O26/P26</f>
        <v>491.415985701127</v>
      </c>
      <c r="R26" s="256">
        <f>SUMIFS(R$19:R$168, $E$19:$E$168,$E26,$C$19:$C$168,"2100")+SUMIFS(R$19:R$168, $E$19:$E$168,$E26,$C$19:$C$168,"2200")+SUMIFS(R$19:R$168, $E$19:$E$168,$E26,$C$19:$C$168,"2300")+SUMIFS(R$19:R$168, $E$19:$E$168,$E26,$C$19:$C$168,"2400")+SUMIFS(R$19:R$168, $E$19:$E$168,$E26,$C$19:$C$168,"2500")+SUMIFS(R$19:R$168, $E$19:$E$168,$E26,$C$19:$C$168,"2600")+SUMIFS(R$19:R$168, $E$19:$E$168,$E26,$C$19:$C$168,"2700")+SUMIFS(R$19:R$168, $E$19:$E$168,$E26,$C$19:$C$168,"2800")+SUMIFS(R$19:R$168, $E$19:$E$168,$E26,$C$19:$C$168,"2900")</f>
        <v>12866216.972292202</v>
      </c>
      <c r="S26" s="182">
        <f>VLOOKUP($H26,'Cost Drivers'!$A$2:$R$66,6,FALSE)</f>
        <v>26100</v>
      </c>
      <c r="T26" s="264">
        <f>R26/S26</f>
        <v>492.95850468552499</v>
      </c>
      <c r="U26" s="256">
        <f>SUMIFS(U$19:U$168, $E$19:$E$168,$E26,$C$19:$C$168,"2100")+SUMIFS(U$19:U$168, $E$19:$E$168,$E26,$C$19:$C$168,"2200")+SUMIFS(U$19:U$168, $E$19:$E$168,$E26,$C$19:$C$168,"2300")+SUMIFS(U$19:U$168, $E$19:$E$168,$E26,$C$19:$C$168,"2400")+SUMIFS(U$19:U$168, $E$19:$E$168,$E26,$C$19:$C$168,"2500")+SUMIFS(U$19:U$168, $E$19:$E$168,$E26,$C$19:$C$168,"2600")+SUMIFS(U$19:U$168, $E$19:$E$168,$E26,$C$19:$C$168,"2700")+SUMIFS(U$19:U$168, $E$19:$E$168,$E26,$C$19:$C$168,"2800")+SUMIFS(U$19:U$168, $E$19:$E$168,$E26,$C$19:$C$168,"2900")</f>
        <v>13141361.256599143</v>
      </c>
      <c r="V26" s="182">
        <f>VLOOKUP($H26,'Cost Drivers'!$A$2:$R$66,8,FALSE)</f>
        <v>26683</v>
      </c>
      <c r="W26" s="264">
        <f>U26/V26</f>
        <v>492.49939124533012</v>
      </c>
      <c r="X26" s="256">
        <f>SUMIFS(X$19:X$168, $E$19:$E$168,$E26,$C$19:$C$168,"2100")+SUMIFS(X$19:X$168, $E$19:$E$168,$E26,$C$19:$C$168,"2200")+SUMIFS(X$19:X$168, $E$19:$E$168,$E26,$C$19:$C$168,"2300")+SUMIFS(X$19:X$168, $E$19:$E$168,$E26,$C$19:$C$168,"2400")+SUMIFS(X$19:X$168, $E$19:$E$168,$E26,$C$19:$C$168,"2500")+SUMIFS(X$19:X$168, $E$19:$E$168,$E26,$C$19:$C$168,"2600")+SUMIFS(X$19:X$168, $E$19:$E$168,$E26,$C$19:$C$168,"2700")+SUMIFS(X$19:X$168, $E$19:$E$168,$E26,$C$19:$C$168,"2800")+SUMIFS(X$19:X$168, $E$19:$E$168,$E26,$C$19:$C$168,"2900")</f>
        <v>12457777.821366049</v>
      </c>
      <c r="Y26" s="182">
        <f>VLOOKUP($H26,'Cost Drivers'!$A$2:$R$66,10,FALSE)</f>
        <v>25128</v>
      </c>
      <c r="Z26" s="264">
        <f>X26/Y26</f>
        <v>495.77275634217006</v>
      </c>
      <c r="AA26" s="256">
        <f>SUMIFS(AA$19:AA$168, $E$19:$E$168,$E26,$C$19:$C$168,"2100")+SUMIFS(AA$19:AA$168, $E$19:$E$168,$E26,$C$19:$C$168,"2200")+SUMIFS(AA$19:AA$168, $E$19:$E$168,$E26,$C$19:$C$168,"2300")+SUMIFS(AA$19:AA$168, $E$19:$E$168,$E26,$C$19:$C$168,"2400")+SUMIFS(AA$19:AA$168, $E$19:$E$168,$E26,$C$19:$C$168,"2500")+SUMIFS(AA$19:AA$168, $E$19:$E$168,$E26,$C$19:$C$168,"2600")+SUMIFS(AA$19:AA$168, $E$19:$E$168,$E26,$C$19:$C$168,"2700")+SUMIFS(AA$19:AA$168, $E$19:$E$168,$E26,$C$19:$C$168,"2800")+SUMIFS(AA$19:AA$168, $E$19:$E$168,$E26,$C$19:$C$168,"2900")</f>
        <v>13010410.369060703</v>
      </c>
      <c r="AB26" s="182">
        <f>VLOOKUP($H26,'Cost Drivers'!$A$2:$R$66,12,FALSE)</f>
        <v>26294</v>
      </c>
      <c r="AC26" s="264">
        <f>AA26/AB26</f>
        <v>494.80529280675069</v>
      </c>
      <c r="AD26" s="256">
        <f>SUMIFS(AD$19:AD$168, $E$19:$E$168,$E26,$C$19:$C$168,"2100")+SUMIFS(AD$19:AD$168, $E$19:$E$168,$E26,$C$19:$C$168,"2200")+SUMIFS(AD$19:AD$168, $E$19:$E$168,$E26,$C$19:$C$168,"2300")+SUMIFS(AD$19:AD$168, $E$19:$E$168,$E26,$C$19:$C$168,"2400")+SUMIFS(AD$19:AD$168, $E$19:$E$168,$E26,$C$19:$C$168,"2500")+SUMIFS(AD$19:AD$168, $E$19:$E$168,$E26,$C$19:$C$168,"2600")+SUMIFS(AD$19:AD$168, $E$19:$E$168,$E26,$C$19:$C$168,"2700")+SUMIFS(AD$19:AD$168, $E$19:$E$168,$E26,$C$19:$C$168,"2800")+SUMIFS(AD$19:AD$168, $E$19:$E$168,$E26,$C$19:$C$168,"2900")</f>
        <v>11635918.262659909</v>
      </c>
      <c r="AE26" s="182">
        <f>VLOOKUP($H26,'Cost Drivers'!$A$2:$R$66,14,FALSE)</f>
        <v>23184</v>
      </c>
      <c r="AF26" s="264">
        <f>AD26/AE26</f>
        <v>501.89433500085875</v>
      </c>
      <c r="AG26" s="256">
        <f>SUMIFS(AG$19:AG$168, $E$19:$E$168,$E26,$C$19:$C$168,"2100")+SUMIFS(AG$19:AG$168, $E$19:$E$168,$E26,$C$19:$C$168,"2200")+SUMIFS(AG$19:AG$168, $E$19:$E$168,$E26,$C$19:$C$168,"2300")+SUMIFS(AG$19:AG$168, $E$19:$E$168,$E26,$C$19:$C$168,"2400")+SUMIFS(AG$19:AG$168, $E$19:$E$168,$E26,$C$19:$C$168,"2500")+SUMIFS(AG$19:AG$168, $E$19:$E$168,$E26,$C$19:$C$168,"2600")+SUMIFS(AG$19:AG$168, $E$19:$E$168,$E26,$C$19:$C$168,"2700")+SUMIFS(AG$19:AG$168, $E$19:$E$168,$E26,$C$19:$C$168,"2800")+SUMIFS(AG$19:AG$168, $E$19:$E$168,$E26,$C$19:$C$168,"2900")</f>
        <v>12751071.880383926</v>
      </c>
      <c r="AH26" s="182">
        <f>VLOOKUP($H26,'Cost Drivers'!$A$2:$R$66,16,FALSE)</f>
        <v>25517</v>
      </c>
      <c r="AI26" s="264">
        <f>AG26/AH26</f>
        <v>499.70889526135227</v>
      </c>
      <c r="AJ26" s="256">
        <f>SUMIFS(AJ$19:AJ$168, $E$19:$E$168,$E26,$C$19:$C$168,"2100")+SUMIFS(AJ$19:AJ$168, $E$19:$E$168,$E26,$C$19:$C$168,"2200")+SUMIFS(AJ$19:AJ$168, $E$19:$E$168,$E26,$C$19:$C$168,"2300")+SUMIFS(AJ$19:AJ$168, $E$19:$E$168,$E26,$C$19:$C$168,"2400")+SUMIFS(AJ$19:AJ$168, $E$19:$E$168,$E26,$C$19:$C$168,"2500")+SUMIFS(AJ$19:AJ$168, $E$19:$E$168,$E26,$C$19:$C$168,"2600")+SUMIFS(AJ$19:AJ$168, $E$19:$E$168,$E26,$C$19:$C$168,"2700")+SUMIFS(AJ$19:AJ$168, $E$19:$E$168,$E26,$C$19:$C$168,"2800")+SUMIFS(AJ$19:AJ$168, $E$19:$E$168,$E26,$C$19:$C$168,"2900")</f>
        <v>10000925.315055257</v>
      </c>
      <c r="AK26" s="182">
        <f>VLOOKUP($H26,'Cost Drivers'!$A$2:$R$66,18,FALSE)</f>
        <v>19296</v>
      </c>
      <c r="AL26" s="264">
        <f>AJ26/AK26</f>
        <v>518.29007644357671</v>
      </c>
      <c r="AM26" s="256">
        <f>SUMIFS(AM$19:AM$168, $E$19:$E$168,$E26,$C$19:$C$168,"2100")+SUMIFS(AM$19:AM$168, $E$19:$E$168,$E26,$C$19:$C$168,"2200")+SUMIFS(AM$19:AM$168, $E$19:$E$168,$E26,$C$19:$C$168,"2300")+SUMIFS(AM$19:AM$168, $E$19:$E$168,$E26,$C$19:$C$168,"2400")+SUMIFS(AM$19:AM$168, $E$19:$E$168,$E26,$C$19:$C$168,"2500")+SUMIFS(AM$19:AM$168, $E$19:$E$168,$E26,$C$19:$C$168,"2600")+SUMIFS(AM$19:AM$168, $E$19:$E$168,$E26,$C$19:$C$168,"2700")+SUMIFS(AM$19:AM$168, $E$19:$E$168,$E26,$C$19:$C$168,"2800")+SUMIFS(AM$19:AM$168, $E$19:$E$168,$E26,$C$19:$C$168,"2900")</f>
        <v>13290020.765882295</v>
      </c>
      <c r="AN26" s="182">
        <f>VLOOKUP($H26,'Cost Drivers'!$A$3:$V$67,20,FALSE)</f>
        <v>27072</v>
      </c>
      <c r="AO26" s="264">
        <f>AM26/AN26</f>
        <v>490.91388762863085</v>
      </c>
      <c r="AP26" s="256">
        <f>SUMIFS(AP$19:AP$168, $E$19:$E$168,$E26,$C$19:$C$168,"2100")+SUMIFS(AP$19:AP$168, $E$19:$E$168,$E26,$C$19:$C$168,"2200")+SUMIFS(AP$19:AP$168, $E$19:$E$168,$E26,$C$19:$C$168,"2300")+SUMIFS(AP$19:AP$168, $E$19:$E$168,$E26,$C$19:$C$168,"2400")+SUMIFS(AP$19:AP$168, $E$19:$E$168,$E26,$C$19:$C$168,"2500")+SUMIFS(AP$19:AP$168, $E$19:$E$168,$E26,$C$19:$C$168,"2600")+SUMIFS(AP$19:AP$168, $E$19:$E$168,$E26,$C$19:$C$168,"2700")+SUMIFS(AP$19:AP$168, $E$19:$E$168,$E26,$C$19:$C$168,"2800")+SUMIFS(AP$19:AP$168, $E$19:$E$168,$E26,$C$19:$C$168,"2900")</f>
        <v>13289080.122114964</v>
      </c>
      <c r="AQ26" s="182">
        <f>VLOOKUP($H26,'Cost Drivers'!$A$3:$V$67,22,FALSE)</f>
        <v>27072</v>
      </c>
      <c r="AR26" s="264">
        <f>AP26/AQ26</f>
        <v>490.879141626587</v>
      </c>
    </row>
    <row r="27" spans="1:44" outlineLevel="1" x14ac:dyDescent="0.25">
      <c r="B27" s="260" t="s">
        <v>261</v>
      </c>
      <c r="C27" s="261" t="s">
        <v>243</v>
      </c>
      <c r="D27" s="182">
        <f t="shared" si="3"/>
        <v>2000</v>
      </c>
      <c r="E27" s="262" t="s">
        <v>220</v>
      </c>
      <c r="F27" s="262" t="s">
        <v>198</v>
      </c>
      <c r="G27" s="287">
        <v>461753.26833333337</v>
      </c>
      <c r="H27" s="180" t="s">
        <v>516</v>
      </c>
      <c r="I27" s="135">
        <v>0.1</v>
      </c>
      <c r="J27" s="255">
        <f t="shared" si="0"/>
        <v>0.9</v>
      </c>
      <c r="K27" s="263">
        <f t="shared" ref="K27:K35" si="20">G27*I27</f>
        <v>46175.32683333334</v>
      </c>
      <c r="L27" s="257">
        <f t="shared" si="1"/>
        <v>415577.94150000002</v>
      </c>
      <c r="M27" s="462">
        <f>VLOOKUP($H27,'Cost Drivers'!$A$2:$R$66,2,FALSE)</f>
        <v>29.416666666666668</v>
      </c>
      <c r="N27" s="258">
        <f t="shared" si="2"/>
        <v>14127.295461756374</v>
      </c>
      <c r="O27" s="187">
        <f t="shared" si="5"/>
        <v>409691.56839093484</v>
      </c>
      <c r="P27" s="480">
        <f>VLOOKUP($H27,'Cost Drivers'!$A$2:$R$66,4,FALSE)</f>
        <v>29</v>
      </c>
      <c r="Q27" s="264">
        <f t="shared" ref="Q27:Q35" si="21">N27</f>
        <v>14127.295461756374</v>
      </c>
      <c r="R27" s="187">
        <f t="shared" ref="R27:R35" si="22">S27*T27</f>
        <v>395564.27292917843</v>
      </c>
      <c r="S27" s="182">
        <f>VLOOKUP($H27,'Cost Drivers'!$A$2:$R$66,6,FALSE)</f>
        <v>28</v>
      </c>
      <c r="T27" s="264">
        <f t="shared" ref="T27:T35" si="23">Q27</f>
        <v>14127.295461756374</v>
      </c>
      <c r="U27" s="187">
        <f t="shared" ref="U27:U35" si="24">V27*W27</f>
        <v>409691.56839093484</v>
      </c>
      <c r="V27" s="182">
        <f>VLOOKUP($H27,'Cost Drivers'!$A$2:$R$66,8,FALSE)</f>
        <v>29</v>
      </c>
      <c r="W27" s="264">
        <f t="shared" ref="W27:W35" si="25">T27</f>
        <v>14127.295461756374</v>
      </c>
      <c r="X27" s="187">
        <f t="shared" ref="X27:X35" si="26">Y27*Z27</f>
        <v>395564.27292917843</v>
      </c>
      <c r="Y27" s="182">
        <f>VLOOKUP($H27,'Cost Drivers'!$A$2:$R$66,10,FALSE)</f>
        <v>28</v>
      </c>
      <c r="Z27" s="264">
        <f t="shared" ref="Z27:Z35" si="27">W27</f>
        <v>14127.295461756374</v>
      </c>
      <c r="AA27" s="187">
        <f t="shared" ref="AA27:AA35" si="28">AB27*AC27</f>
        <v>409691.56839093484</v>
      </c>
      <c r="AB27" s="182">
        <f>VLOOKUP($H27,'Cost Drivers'!$A$2:$R$66,12,FALSE)</f>
        <v>29</v>
      </c>
      <c r="AC27" s="264">
        <f t="shared" ref="AC27:AC35" si="29">Z27</f>
        <v>14127.295461756374</v>
      </c>
      <c r="AD27" s="187">
        <f t="shared" ref="AD27:AD35" si="30">AE27*AF27</f>
        <v>367309.68200566573</v>
      </c>
      <c r="AE27" s="182">
        <f>VLOOKUP($H27,'Cost Drivers'!$A$2:$R$66,14,FALSE)</f>
        <v>26</v>
      </c>
      <c r="AF27" s="264">
        <f t="shared" ref="AF27:AF35" si="31">AC27</f>
        <v>14127.295461756374</v>
      </c>
      <c r="AG27" s="187">
        <f t="shared" ref="AG27:AG35" si="32">AH27*AI27</f>
        <v>409691.56839093484</v>
      </c>
      <c r="AH27" s="182">
        <f>VLOOKUP($H27,'Cost Drivers'!$A$2:$R$66,16,FALSE)</f>
        <v>29</v>
      </c>
      <c r="AI27" s="264">
        <f t="shared" ref="AI27:AI35" si="33">AF27</f>
        <v>14127.295461756374</v>
      </c>
      <c r="AJ27" s="187">
        <f t="shared" ref="AJ27:AJ35" si="34">AK27*AL27</f>
        <v>339055.09108215297</v>
      </c>
      <c r="AK27" s="182">
        <f>VLOOKUP($H27,'Cost Drivers'!$A$2:$R$66,18,FALSE)</f>
        <v>24</v>
      </c>
      <c r="AL27" s="264">
        <f t="shared" ref="AL27:AL35" si="35">AI27</f>
        <v>14127.295461756374</v>
      </c>
      <c r="AM27" s="187">
        <f t="shared" ref="AM27:AM35" si="36">AN27*AO27</f>
        <v>409691.56839093484</v>
      </c>
      <c r="AN27" s="182">
        <f>VLOOKUP($H27,'Cost Drivers'!$A$3:$V$67,20,FALSE)</f>
        <v>29</v>
      </c>
      <c r="AO27" s="264">
        <f t="shared" ref="AO27:AO35" si="37">AL27</f>
        <v>14127.295461756374</v>
      </c>
      <c r="AP27" s="187">
        <f t="shared" ref="AP27:AP35" si="38">AQ27*AR27</f>
        <v>409691.56839093484</v>
      </c>
      <c r="AQ27" s="182">
        <f>VLOOKUP($H27,'Cost Drivers'!$A$3:$V$67,22,FALSE)</f>
        <v>29</v>
      </c>
      <c r="AR27" s="264">
        <f t="shared" ref="AR27:AR35" si="39">AO27</f>
        <v>14127.295461756374</v>
      </c>
    </row>
    <row r="28" spans="1:44" outlineLevel="1" x14ac:dyDescent="0.25">
      <c r="B28" s="260" t="s">
        <v>261</v>
      </c>
      <c r="C28" s="261" t="s">
        <v>244</v>
      </c>
      <c r="D28" s="182">
        <f t="shared" si="3"/>
        <v>2000</v>
      </c>
      <c r="E28" s="262" t="s">
        <v>220</v>
      </c>
      <c r="F28" s="262" t="s">
        <v>199</v>
      </c>
      <c r="G28" s="287">
        <v>1541117.6516666666</v>
      </c>
      <c r="H28" s="180" t="s">
        <v>326</v>
      </c>
      <c r="I28" s="135">
        <v>0.1</v>
      </c>
      <c r="J28" s="255">
        <f t="shared" si="0"/>
        <v>0.9</v>
      </c>
      <c r="K28" s="263">
        <f t="shared" si="20"/>
        <v>154111.76516666668</v>
      </c>
      <c r="L28" s="257">
        <f t="shared" si="1"/>
        <v>1387005.8865</v>
      </c>
      <c r="M28" s="462">
        <f>VLOOKUP($H28,'Cost Drivers'!$A$2:$R$66,2,FALSE)</f>
        <v>1474.5283333333336</v>
      </c>
      <c r="N28" s="258">
        <f t="shared" si="2"/>
        <v>940.64376732898745</v>
      </c>
      <c r="O28" s="187">
        <f t="shared" si="5"/>
        <v>1359230.2437903869</v>
      </c>
      <c r="P28" s="480">
        <f>VLOOKUP($H28,'Cost Drivers'!$A$2:$R$66,4,FALSE)</f>
        <v>1445</v>
      </c>
      <c r="Q28" s="264">
        <f t="shared" si="21"/>
        <v>940.64376732898745</v>
      </c>
      <c r="R28" s="187">
        <f t="shared" si="22"/>
        <v>1330070.2870031882</v>
      </c>
      <c r="S28" s="182">
        <f>VLOOKUP($H28,'Cost Drivers'!$A$2:$R$66,6,FALSE)</f>
        <v>1414</v>
      </c>
      <c r="T28" s="264">
        <f t="shared" si="23"/>
        <v>940.64376732898745</v>
      </c>
      <c r="U28" s="187">
        <f t="shared" si="24"/>
        <v>1359230.2437903869</v>
      </c>
      <c r="V28" s="182">
        <f>VLOOKUP($H28,'Cost Drivers'!$A$2:$R$66,8,FALSE)</f>
        <v>1445</v>
      </c>
      <c r="W28" s="264">
        <f t="shared" si="25"/>
        <v>940.64376732898745</v>
      </c>
      <c r="X28" s="187">
        <f t="shared" si="26"/>
        <v>1302791.6177506477</v>
      </c>
      <c r="Y28" s="182">
        <f>VLOOKUP($H28,'Cost Drivers'!$A$2:$R$66,10,FALSE)</f>
        <v>1385</v>
      </c>
      <c r="Z28" s="264">
        <f t="shared" si="27"/>
        <v>940.64376732898745</v>
      </c>
      <c r="AA28" s="187">
        <f t="shared" si="28"/>
        <v>1359230.2437903869</v>
      </c>
      <c r="AB28" s="182">
        <f>VLOOKUP($H28,'Cost Drivers'!$A$2:$R$66,12,FALSE)</f>
        <v>1445</v>
      </c>
      <c r="AC28" s="264">
        <f t="shared" si="29"/>
        <v>940.64376732898745</v>
      </c>
      <c r="AD28" s="187">
        <f t="shared" si="30"/>
        <v>1244471.7041762504</v>
      </c>
      <c r="AE28" s="182">
        <f>VLOOKUP($H28,'Cost Drivers'!$A$2:$R$66,14,FALSE)</f>
        <v>1323</v>
      </c>
      <c r="AF28" s="264">
        <f t="shared" si="31"/>
        <v>940.64376732898745</v>
      </c>
      <c r="AG28" s="187">
        <f t="shared" si="32"/>
        <v>1359230.2437903869</v>
      </c>
      <c r="AH28" s="182">
        <f>VLOOKUP($H28,'Cost Drivers'!$A$2:$R$66,16,FALSE)</f>
        <v>1445</v>
      </c>
      <c r="AI28" s="264">
        <f t="shared" si="33"/>
        <v>940.64376732898745</v>
      </c>
      <c r="AJ28" s="187">
        <f t="shared" si="34"/>
        <v>1128772.5207947849</v>
      </c>
      <c r="AK28" s="182">
        <f>VLOOKUP($H28,'Cost Drivers'!$A$2:$R$66,18,FALSE)</f>
        <v>1200</v>
      </c>
      <c r="AL28" s="264">
        <f t="shared" si="35"/>
        <v>940.64376732898745</v>
      </c>
      <c r="AM28" s="187">
        <f t="shared" si="36"/>
        <v>1359230.2437903869</v>
      </c>
      <c r="AN28" s="182">
        <f>VLOOKUP($H28,'Cost Drivers'!$A$3:$V$67,20,FALSE)</f>
        <v>1445</v>
      </c>
      <c r="AO28" s="264">
        <f t="shared" si="37"/>
        <v>940.64376732898745</v>
      </c>
      <c r="AP28" s="187">
        <f t="shared" si="38"/>
        <v>1358289.6000230578</v>
      </c>
      <c r="AQ28" s="182">
        <f>VLOOKUP($H28,'Cost Drivers'!$A$3:$V$67,22,FALSE)</f>
        <v>1444</v>
      </c>
      <c r="AR28" s="264">
        <f t="shared" si="39"/>
        <v>940.64376732898745</v>
      </c>
    </row>
    <row r="29" spans="1:44" outlineLevel="1" x14ac:dyDescent="0.25">
      <c r="B29" s="260" t="s">
        <v>261</v>
      </c>
      <c r="C29" s="261" t="s">
        <v>245</v>
      </c>
      <c r="D29" s="182">
        <f t="shared" si="3"/>
        <v>2000</v>
      </c>
      <c r="E29" s="262" t="s">
        <v>220</v>
      </c>
      <c r="F29" s="262" t="s">
        <v>200</v>
      </c>
      <c r="G29" s="287">
        <v>8279725.3783333311</v>
      </c>
      <c r="H29" s="180" t="s">
        <v>315</v>
      </c>
      <c r="I29" s="135">
        <v>0.1</v>
      </c>
      <c r="J29" s="255">
        <f t="shared" si="0"/>
        <v>0.9</v>
      </c>
      <c r="K29" s="263">
        <f t="shared" si="20"/>
        <v>827972.53783333313</v>
      </c>
      <c r="L29" s="257">
        <f t="shared" si="1"/>
        <v>7451752.8404999981</v>
      </c>
      <c r="M29" s="462">
        <f>VLOOKUP($H29,'Cost Drivers'!$A$2:$R$66,2,FALSE)</f>
        <v>362</v>
      </c>
      <c r="N29" s="258">
        <f t="shared" si="2"/>
        <v>20584.952598066295</v>
      </c>
      <c r="O29" s="187">
        <f t="shared" si="5"/>
        <v>7386909.2893319139</v>
      </c>
      <c r="P29" s="480">
        <f>VLOOKUP($H29,'Cost Drivers'!$A$2:$R$66,4,FALSE)</f>
        <v>358.84995382626357</v>
      </c>
      <c r="Q29" s="264">
        <f t="shared" si="21"/>
        <v>20584.952598066295</v>
      </c>
      <c r="R29" s="187">
        <f t="shared" si="22"/>
        <v>7189668.8688113997</v>
      </c>
      <c r="S29" s="182">
        <f>VLOOKUP($H29,'Cost Drivers'!$A$2:$R$66,6,FALSE)</f>
        <v>349.26817706088775</v>
      </c>
      <c r="T29" s="264">
        <f t="shared" si="23"/>
        <v>20584.952598066295</v>
      </c>
      <c r="U29" s="187">
        <f t="shared" si="24"/>
        <v>7342802.2613049457</v>
      </c>
      <c r="V29" s="182">
        <f>VLOOKUP($H29,'Cost Drivers'!$A$2:$R$66,8,FALSE)</f>
        <v>356.70727082435508</v>
      </c>
      <c r="W29" s="264">
        <f t="shared" si="25"/>
        <v>20584.952598066295</v>
      </c>
      <c r="X29" s="187">
        <f t="shared" si="26"/>
        <v>6927509.1118512768</v>
      </c>
      <c r="Y29" s="182">
        <f>VLOOKUP($H29,'Cost Drivers'!$A$2:$R$66,10,FALSE)</f>
        <v>336.53267253586154</v>
      </c>
      <c r="Z29" s="264">
        <f t="shared" si="27"/>
        <v>20584.952598066295</v>
      </c>
      <c r="AA29" s="187">
        <f t="shared" si="28"/>
        <v>7254360.8494364349</v>
      </c>
      <c r="AB29" s="182">
        <f>VLOOKUP($H29,'Cost Drivers'!$A$2:$R$66,12,FALSE)</f>
        <v>352.41086006279625</v>
      </c>
      <c r="AC29" s="264">
        <f t="shared" si="29"/>
        <v>20584.952598066295</v>
      </c>
      <c r="AD29" s="187">
        <f t="shared" si="30"/>
        <v>6423774.5505290981</v>
      </c>
      <c r="AE29" s="182">
        <f>VLOOKUP($H29,'Cost Drivers'!$A$2:$R$66,14,FALSE)</f>
        <v>312.06166348580922</v>
      </c>
      <c r="AF29" s="264">
        <f t="shared" si="31"/>
        <v>20584.952598066295</v>
      </c>
      <c r="AG29" s="187">
        <f t="shared" si="32"/>
        <v>7077705.3815139867</v>
      </c>
      <c r="AH29" s="182">
        <f>VLOOKUP($H29,'Cost Drivers'!$A$2:$R$66,16,FALSE)</f>
        <v>343.82908329742042</v>
      </c>
      <c r="AI29" s="264">
        <f t="shared" si="33"/>
        <v>20584.952598066295</v>
      </c>
      <c r="AJ29" s="187">
        <f t="shared" si="34"/>
        <v>5416305.4278847417</v>
      </c>
      <c r="AK29" s="182">
        <f>VLOOKUP($H29,'Cost Drivers'!$A$2:$R$66,18,FALSE)</f>
        <v>263.11964538570459</v>
      </c>
      <c r="AL29" s="264">
        <f t="shared" si="35"/>
        <v>20584.952598066295</v>
      </c>
      <c r="AM29" s="187">
        <f t="shared" si="36"/>
        <v>7451752.840499999</v>
      </c>
      <c r="AN29" s="182">
        <f>VLOOKUP($H29,'Cost Drivers'!$A$3:$V$67,20,FALSE)</f>
        <v>362</v>
      </c>
      <c r="AO29" s="264">
        <f t="shared" si="37"/>
        <v>20584.952598066295</v>
      </c>
      <c r="AP29" s="187">
        <f t="shared" si="38"/>
        <v>7451752.840499999</v>
      </c>
      <c r="AQ29" s="182">
        <f>VLOOKUP($H29,'Cost Drivers'!$A$3:$V$67,22,FALSE)</f>
        <v>362</v>
      </c>
      <c r="AR29" s="264">
        <f t="shared" si="39"/>
        <v>20584.952598066295</v>
      </c>
    </row>
    <row r="30" spans="1:44" outlineLevel="1" x14ac:dyDescent="0.25">
      <c r="B30" s="260" t="s">
        <v>261</v>
      </c>
      <c r="C30" s="261" t="s">
        <v>246</v>
      </c>
      <c r="D30" s="182">
        <f t="shared" si="3"/>
        <v>2000</v>
      </c>
      <c r="E30" s="262" t="s">
        <v>220</v>
      </c>
      <c r="F30" s="262" t="s">
        <v>201</v>
      </c>
      <c r="G30" s="287">
        <v>79287.069999999992</v>
      </c>
      <c r="H30" s="180" t="s">
        <v>518</v>
      </c>
      <c r="I30" s="135">
        <v>0.1</v>
      </c>
      <c r="J30" s="255">
        <f t="shared" si="0"/>
        <v>0.9</v>
      </c>
      <c r="K30" s="263">
        <f t="shared" si="20"/>
        <v>7928.7069999999994</v>
      </c>
      <c r="L30" s="257">
        <f t="shared" si="1"/>
        <v>71358.362999999998</v>
      </c>
      <c r="M30" s="462">
        <f>VLOOKUP($H30,'Cost Drivers'!$A$2:$R$66,2,FALSE)</f>
        <v>63.93</v>
      </c>
      <c r="N30" s="258">
        <f t="shared" si="2"/>
        <v>1116.1952604411074</v>
      </c>
      <c r="O30" s="187">
        <f t="shared" si="5"/>
        <v>71436.496668230873</v>
      </c>
      <c r="P30" s="480">
        <f>VLOOKUP($H30,'Cost Drivers'!$A$2:$R$66,4,FALSE)</f>
        <v>64</v>
      </c>
      <c r="Q30" s="264">
        <f t="shared" si="21"/>
        <v>1116.1952604411074</v>
      </c>
      <c r="R30" s="187">
        <f t="shared" si="22"/>
        <v>66971.715626466437</v>
      </c>
      <c r="S30" s="182">
        <f>VLOOKUP($H30,'Cost Drivers'!$A$2:$R$66,6,FALSE)</f>
        <v>60</v>
      </c>
      <c r="T30" s="264">
        <f t="shared" si="23"/>
        <v>1116.1952604411074</v>
      </c>
      <c r="U30" s="187">
        <f t="shared" si="24"/>
        <v>69204.106147348662</v>
      </c>
      <c r="V30" s="182">
        <f>VLOOKUP($H30,'Cost Drivers'!$A$2:$R$66,8,FALSE)</f>
        <v>62</v>
      </c>
      <c r="W30" s="264">
        <f t="shared" si="25"/>
        <v>1116.1952604411074</v>
      </c>
      <c r="X30" s="187">
        <f t="shared" si="26"/>
        <v>64739.325105584227</v>
      </c>
      <c r="Y30" s="182">
        <f>VLOOKUP($H30,'Cost Drivers'!$A$2:$R$66,10,FALSE)</f>
        <v>58</v>
      </c>
      <c r="Z30" s="264">
        <f t="shared" si="27"/>
        <v>1116.1952604411074</v>
      </c>
      <c r="AA30" s="187">
        <f t="shared" si="28"/>
        <v>66971.715626466437</v>
      </c>
      <c r="AB30" s="182">
        <f>VLOOKUP($H30,'Cost Drivers'!$A$2:$R$66,12,FALSE)</f>
        <v>60</v>
      </c>
      <c r="AC30" s="264">
        <f t="shared" si="29"/>
        <v>1116.1952604411074</v>
      </c>
      <c r="AD30" s="187">
        <f t="shared" si="30"/>
        <v>60274.544063819798</v>
      </c>
      <c r="AE30" s="182">
        <f>VLOOKUP($H30,'Cost Drivers'!$A$2:$R$66,14,FALSE)</f>
        <v>54</v>
      </c>
      <c r="AF30" s="264">
        <f t="shared" si="31"/>
        <v>1116.1952604411074</v>
      </c>
      <c r="AG30" s="187">
        <f t="shared" si="32"/>
        <v>64739.325105584227</v>
      </c>
      <c r="AH30" s="182">
        <f>VLOOKUP($H30,'Cost Drivers'!$A$2:$R$66,16,FALSE)</f>
        <v>58</v>
      </c>
      <c r="AI30" s="264">
        <f t="shared" si="33"/>
        <v>1116.1952604411074</v>
      </c>
      <c r="AJ30" s="187">
        <f t="shared" si="34"/>
        <v>50228.786719849835</v>
      </c>
      <c r="AK30" s="182">
        <f>VLOOKUP($H30,'Cost Drivers'!$A$2:$R$66,18,FALSE)</f>
        <v>45</v>
      </c>
      <c r="AL30" s="264">
        <f t="shared" si="35"/>
        <v>1116.1952604411074</v>
      </c>
      <c r="AM30" s="187">
        <f t="shared" si="36"/>
        <v>71358.362999999998</v>
      </c>
      <c r="AN30" s="182">
        <f>VLOOKUP($H30,'Cost Drivers'!$A$3:$V$67,20,FALSE)</f>
        <v>63.93</v>
      </c>
      <c r="AO30" s="264">
        <f t="shared" si="37"/>
        <v>1116.1952604411074</v>
      </c>
      <c r="AP30" s="187">
        <f t="shared" si="38"/>
        <v>71358.362999999998</v>
      </c>
      <c r="AQ30" s="182">
        <f>VLOOKUP($H30,'Cost Drivers'!$A$3:$V$67,22,FALSE)</f>
        <v>63.93</v>
      </c>
      <c r="AR30" s="264">
        <f t="shared" si="39"/>
        <v>1116.1952604411074</v>
      </c>
    </row>
    <row r="31" spans="1:44" outlineLevel="1" x14ac:dyDescent="0.25">
      <c r="B31" s="260" t="s">
        <v>261</v>
      </c>
      <c r="C31" s="261" t="s">
        <v>247</v>
      </c>
      <c r="D31" s="182">
        <f t="shared" si="3"/>
        <v>2000</v>
      </c>
      <c r="E31" s="262" t="s">
        <v>220</v>
      </c>
      <c r="F31" s="262" t="s">
        <v>202</v>
      </c>
      <c r="G31" s="287">
        <v>1472312.9650000001</v>
      </c>
      <c r="H31" s="180" t="s">
        <v>322</v>
      </c>
      <c r="I31" s="135">
        <v>0.1</v>
      </c>
      <c r="J31" s="255">
        <f t="shared" si="0"/>
        <v>0.9</v>
      </c>
      <c r="K31" s="263">
        <f t="shared" si="20"/>
        <v>147231.29650000003</v>
      </c>
      <c r="L31" s="257">
        <f t="shared" si="1"/>
        <v>1325081.6685000001</v>
      </c>
      <c r="M31" s="462">
        <f>VLOOKUP($H31,'Cost Drivers'!$A$2:$R$66,2,FALSE)</f>
        <v>44</v>
      </c>
      <c r="N31" s="258">
        <f t="shared" si="2"/>
        <v>30115.492465909094</v>
      </c>
      <c r="O31" s="187">
        <f t="shared" si="5"/>
        <v>1316202.9471849261</v>
      </c>
      <c r="P31" s="480">
        <f>VLOOKUP($H31,'Cost Drivers'!$A$2:$R$66,4,FALSE)</f>
        <v>43.705177614972598</v>
      </c>
      <c r="Q31" s="264">
        <f t="shared" si="21"/>
        <v>30115.492465909094</v>
      </c>
      <c r="R31" s="187">
        <f t="shared" si="22"/>
        <v>1280764.0783742457</v>
      </c>
      <c r="S31" s="182">
        <f>VLOOKUP($H31,'Cost Drivers'!$A$2:$R$66,6,FALSE)</f>
        <v>42.528412239118381</v>
      </c>
      <c r="T31" s="264">
        <f t="shared" si="23"/>
        <v>30115.492465909094</v>
      </c>
      <c r="U31" s="187">
        <f t="shared" si="24"/>
        <v>1307354.6324496984</v>
      </c>
      <c r="V31" s="182">
        <f>VLOOKUP($H31,'Cost Drivers'!$A$2:$R$66,8,FALSE)</f>
        <v>43.411364895647353</v>
      </c>
      <c r="W31" s="264">
        <f t="shared" si="25"/>
        <v>30115.492465909094</v>
      </c>
      <c r="X31" s="187">
        <f t="shared" si="26"/>
        <v>1236431.2849585686</v>
      </c>
      <c r="Y31" s="182">
        <f>VLOOKUP($H31,'Cost Drivers'!$A$2:$R$66,10,FALSE)</f>
        <v>41.056319645385699</v>
      </c>
      <c r="Z31" s="264">
        <f t="shared" si="27"/>
        <v>30115.492465909094</v>
      </c>
      <c r="AA31" s="187">
        <f t="shared" si="28"/>
        <v>1289612.3931094736</v>
      </c>
      <c r="AB31" s="182">
        <f>VLOOKUP($H31,'Cost Drivers'!$A$2:$R$66,12,FALSE)</f>
        <v>42.822224958443634</v>
      </c>
      <c r="AC31" s="264">
        <f t="shared" si="29"/>
        <v>30115.492465909094</v>
      </c>
      <c r="AD31" s="187">
        <f t="shared" si="30"/>
        <v>1147765.6981272141</v>
      </c>
      <c r="AE31" s="182">
        <f>VLOOKUP($H31,'Cost Drivers'!$A$2:$R$66,14,FALSE)</f>
        <v>38.112134457920334</v>
      </c>
      <c r="AF31" s="264">
        <f t="shared" si="31"/>
        <v>30115.492465909094</v>
      </c>
      <c r="AG31" s="187">
        <f t="shared" si="32"/>
        <v>1254173.5242987932</v>
      </c>
      <c r="AH31" s="182">
        <f>VLOOKUP($H31,'Cost Drivers'!$A$2:$R$66,16,FALSE)</f>
        <v>41.645459582589417</v>
      </c>
      <c r="AI31" s="264">
        <f t="shared" si="33"/>
        <v>30115.492465909094</v>
      </c>
      <c r="AJ31" s="187">
        <f t="shared" si="34"/>
        <v>970434.52446450526</v>
      </c>
      <c r="AK31" s="182">
        <f>VLOOKUP($H31,'Cost Drivers'!$A$2:$R$66,18,FALSE)</f>
        <v>32.223764082989597</v>
      </c>
      <c r="AL31" s="264">
        <f t="shared" si="35"/>
        <v>30115.492465909094</v>
      </c>
      <c r="AM31" s="187">
        <f t="shared" si="36"/>
        <v>1325081.6685000001</v>
      </c>
      <c r="AN31" s="182">
        <f>VLOOKUP($H31,'Cost Drivers'!$A$3:$V$67,20,FALSE)</f>
        <v>44</v>
      </c>
      <c r="AO31" s="264">
        <f t="shared" si="37"/>
        <v>30115.492465909094</v>
      </c>
      <c r="AP31" s="187">
        <f t="shared" si="38"/>
        <v>1325081.6685000001</v>
      </c>
      <c r="AQ31" s="182">
        <f>VLOOKUP($H31,'Cost Drivers'!$A$3:$V$67,22,FALSE)</f>
        <v>44</v>
      </c>
      <c r="AR31" s="264">
        <f t="shared" si="39"/>
        <v>30115.492465909094</v>
      </c>
    </row>
    <row r="32" spans="1:44" outlineLevel="1" x14ac:dyDescent="0.25">
      <c r="B32" s="260" t="s">
        <v>261</v>
      </c>
      <c r="C32" s="261" t="s">
        <v>248</v>
      </c>
      <c r="D32" s="182">
        <f t="shared" si="3"/>
        <v>2000</v>
      </c>
      <c r="E32" s="262" t="s">
        <v>220</v>
      </c>
      <c r="F32" s="262" t="s">
        <v>203</v>
      </c>
      <c r="G32" s="287">
        <v>1510598.9900000002</v>
      </c>
      <c r="H32" s="180" t="s">
        <v>313</v>
      </c>
      <c r="I32" s="135">
        <v>0.5</v>
      </c>
      <c r="J32" s="255">
        <f t="shared" si="0"/>
        <v>0.5</v>
      </c>
      <c r="K32" s="263">
        <f t="shared" si="20"/>
        <v>755299.49500000011</v>
      </c>
      <c r="L32" s="257">
        <f t="shared" si="1"/>
        <v>755299.49500000011</v>
      </c>
      <c r="M32" s="462">
        <f>VLOOKUP($H32,'Cost Drivers'!$A$2:$R$66,2,FALSE)</f>
        <v>46.8333333333334</v>
      </c>
      <c r="N32" s="258">
        <f t="shared" si="2"/>
        <v>16127.391352313147</v>
      </c>
      <c r="O32" s="187">
        <f t="shared" si="5"/>
        <v>757987.39355871791</v>
      </c>
      <c r="P32" s="480">
        <f>VLOOKUP($H32,'Cost Drivers'!$A$2:$R$66,4,FALSE)</f>
        <v>47</v>
      </c>
      <c r="Q32" s="264">
        <f t="shared" si="21"/>
        <v>16127.391352313147</v>
      </c>
      <c r="R32" s="187">
        <f t="shared" si="22"/>
        <v>741860.00220640481</v>
      </c>
      <c r="S32" s="182">
        <f>VLOOKUP($H32,'Cost Drivers'!$A$2:$R$66,6,FALSE)</f>
        <v>46</v>
      </c>
      <c r="T32" s="264">
        <f t="shared" si="23"/>
        <v>16127.391352313147</v>
      </c>
      <c r="U32" s="187">
        <f t="shared" si="24"/>
        <v>757987.39355871791</v>
      </c>
      <c r="V32" s="182">
        <f>VLOOKUP($H32,'Cost Drivers'!$A$2:$R$66,8,FALSE)</f>
        <v>47</v>
      </c>
      <c r="W32" s="264">
        <f t="shared" si="25"/>
        <v>16127.391352313147</v>
      </c>
      <c r="X32" s="187">
        <f t="shared" si="26"/>
        <v>725732.61085409159</v>
      </c>
      <c r="Y32" s="182">
        <f>VLOOKUP($H32,'Cost Drivers'!$A$2:$R$66,10,FALSE)</f>
        <v>45</v>
      </c>
      <c r="Z32" s="264">
        <f t="shared" si="27"/>
        <v>16127.391352313147</v>
      </c>
      <c r="AA32" s="187">
        <f t="shared" si="28"/>
        <v>757987.39355871791</v>
      </c>
      <c r="AB32" s="182">
        <f>VLOOKUP($H32,'Cost Drivers'!$A$2:$R$66,12,FALSE)</f>
        <v>47</v>
      </c>
      <c r="AC32" s="264">
        <f t="shared" si="29"/>
        <v>16127.391352313147</v>
      </c>
      <c r="AD32" s="187">
        <f t="shared" si="30"/>
        <v>699928.78469039069</v>
      </c>
      <c r="AE32" s="182">
        <f>VLOOKUP($H32,'Cost Drivers'!$A$2:$R$66,14,FALSE)</f>
        <v>43.400000000000006</v>
      </c>
      <c r="AF32" s="264">
        <f t="shared" si="31"/>
        <v>16127.391352313147</v>
      </c>
      <c r="AG32" s="187">
        <f t="shared" si="32"/>
        <v>757987.39355871791</v>
      </c>
      <c r="AH32" s="182">
        <f>VLOOKUP($H32,'Cost Drivers'!$A$2:$R$66,16,FALSE)</f>
        <v>47</v>
      </c>
      <c r="AI32" s="264">
        <f t="shared" si="33"/>
        <v>16127.391352313147</v>
      </c>
      <c r="AJ32" s="187">
        <f t="shared" si="34"/>
        <v>628968.26274021273</v>
      </c>
      <c r="AK32" s="182">
        <f>VLOOKUP($H32,'Cost Drivers'!$A$2:$R$66,18,FALSE)</f>
        <v>39</v>
      </c>
      <c r="AL32" s="264">
        <f t="shared" si="35"/>
        <v>16127.391352313147</v>
      </c>
      <c r="AM32" s="187">
        <f t="shared" si="36"/>
        <v>755299.49500000011</v>
      </c>
      <c r="AN32" s="182">
        <f>VLOOKUP($H32,'Cost Drivers'!$A$3:$V$67,20,FALSE)</f>
        <v>46.8333333333334</v>
      </c>
      <c r="AO32" s="264">
        <f t="shared" si="37"/>
        <v>16127.391352313147</v>
      </c>
      <c r="AP32" s="187">
        <f t="shared" si="38"/>
        <v>755299.49500000011</v>
      </c>
      <c r="AQ32" s="182">
        <f>VLOOKUP($H32,'Cost Drivers'!$A$3:$V$67,22,FALSE)</f>
        <v>46.8333333333334</v>
      </c>
      <c r="AR32" s="264">
        <f t="shared" si="39"/>
        <v>16127.391352313147</v>
      </c>
    </row>
    <row r="33" spans="2:44" outlineLevel="1" x14ac:dyDescent="0.25">
      <c r="B33" s="260" t="s">
        <v>261</v>
      </c>
      <c r="C33" s="261" t="s">
        <v>250</v>
      </c>
      <c r="D33" s="182">
        <f t="shared" si="3"/>
        <v>2000</v>
      </c>
      <c r="E33" s="262" t="s">
        <v>220</v>
      </c>
      <c r="F33" s="262" t="s">
        <v>204</v>
      </c>
      <c r="G33" s="287">
        <v>470618.87</v>
      </c>
      <c r="H33" s="180" t="s">
        <v>310</v>
      </c>
      <c r="I33" s="135">
        <v>0.5</v>
      </c>
      <c r="J33" s="255">
        <f t="shared" si="0"/>
        <v>0.5</v>
      </c>
      <c r="K33" s="263">
        <f t="shared" si="20"/>
        <v>235309.435</v>
      </c>
      <c r="L33" s="257">
        <f t="shared" si="1"/>
        <v>235309.435</v>
      </c>
      <c r="M33" s="462">
        <f>VLOOKUP($H33,'Cost Drivers'!$A$2:$R$66,2,FALSE)</f>
        <v>38876.166666666672</v>
      </c>
      <c r="N33" s="258">
        <f t="shared" si="2"/>
        <v>6.0527941712360178</v>
      </c>
      <c r="O33" s="187">
        <f t="shared" si="5"/>
        <v>235308.42620097141</v>
      </c>
      <c r="P33" s="480">
        <f>VLOOKUP($H33,'Cost Drivers'!$A$2:$R$66,4,FALSE)</f>
        <v>38876</v>
      </c>
      <c r="Q33" s="264">
        <f t="shared" si="21"/>
        <v>6.0527941712360178</v>
      </c>
      <c r="R33" s="187">
        <f t="shared" si="22"/>
        <v>235308.42620097141</v>
      </c>
      <c r="S33" s="182">
        <f>VLOOKUP($H33,'Cost Drivers'!$A$2:$R$66,6,FALSE)</f>
        <v>38876</v>
      </c>
      <c r="T33" s="264">
        <f t="shared" si="23"/>
        <v>6.0527941712360178</v>
      </c>
      <c r="U33" s="187">
        <f t="shared" si="24"/>
        <v>235308.42620097141</v>
      </c>
      <c r="V33" s="182">
        <f>VLOOKUP($H33,'Cost Drivers'!$A$2:$R$66,8,FALSE)</f>
        <v>38876</v>
      </c>
      <c r="W33" s="264">
        <f t="shared" si="25"/>
        <v>6.0527941712360178</v>
      </c>
      <c r="X33" s="187">
        <f t="shared" si="26"/>
        <v>235308.42620097141</v>
      </c>
      <c r="Y33" s="182">
        <f>VLOOKUP($H33,'Cost Drivers'!$A$2:$R$66,10,FALSE)</f>
        <v>38876</v>
      </c>
      <c r="Z33" s="264">
        <f t="shared" si="27"/>
        <v>6.0527941712360178</v>
      </c>
      <c r="AA33" s="187">
        <f t="shared" si="28"/>
        <v>235308.42620097141</v>
      </c>
      <c r="AB33" s="182">
        <f>VLOOKUP($H33,'Cost Drivers'!$A$2:$R$66,12,FALSE)</f>
        <v>38876</v>
      </c>
      <c r="AC33" s="264">
        <f t="shared" si="29"/>
        <v>6.0527941712360178</v>
      </c>
      <c r="AD33" s="187">
        <f t="shared" si="30"/>
        <v>235308.42620097141</v>
      </c>
      <c r="AE33" s="182">
        <f>VLOOKUP($H33,'Cost Drivers'!$A$2:$R$66,14,FALSE)</f>
        <v>38876</v>
      </c>
      <c r="AF33" s="264">
        <f t="shared" si="31"/>
        <v>6.0527941712360178</v>
      </c>
      <c r="AG33" s="187">
        <f t="shared" si="32"/>
        <v>235308.42620097141</v>
      </c>
      <c r="AH33" s="182">
        <f>VLOOKUP($H33,'Cost Drivers'!$A$2:$R$66,16,FALSE)</f>
        <v>38876</v>
      </c>
      <c r="AI33" s="264">
        <f t="shared" si="33"/>
        <v>6.0527941712360178</v>
      </c>
      <c r="AJ33" s="187">
        <f t="shared" si="34"/>
        <v>235308.42620097141</v>
      </c>
      <c r="AK33" s="182">
        <f>VLOOKUP($H33,'Cost Drivers'!$A$2:$R$66,18,FALSE)</f>
        <v>38876</v>
      </c>
      <c r="AL33" s="264">
        <f t="shared" si="35"/>
        <v>6.0527941712360178</v>
      </c>
      <c r="AM33" s="187">
        <f t="shared" si="36"/>
        <v>235308.42620097141</v>
      </c>
      <c r="AN33" s="182">
        <f>VLOOKUP($H33,'Cost Drivers'!$A$3:$V$67,20,FALSE)</f>
        <v>38876</v>
      </c>
      <c r="AO33" s="264">
        <f t="shared" si="37"/>
        <v>6.0527941712360178</v>
      </c>
      <c r="AP33" s="187">
        <f t="shared" si="38"/>
        <v>235308.42620097141</v>
      </c>
      <c r="AQ33" s="182">
        <f>VLOOKUP($H33,'Cost Drivers'!$A$3:$V$67,22,FALSE)</f>
        <v>38876</v>
      </c>
      <c r="AR33" s="264">
        <f t="shared" si="39"/>
        <v>6.0527941712360178</v>
      </c>
    </row>
    <row r="34" spans="2:44" outlineLevel="1" x14ac:dyDescent="0.25">
      <c r="B34" s="260" t="s">
        <v>261</v>
      </c>
      <c r="C34" s="261" t="s">
        <v>249</v>
      </c>
      <c r="D34" s="182">
        <f t="shared" si="3"/>
        <v>2000</v>
      </c>
      <c r="E34" s="262" t="s">
        <v>220</v>
      </c>
      <c r="F34" s="262" t="s">
        <v>205</v>
      </c>
      <c r="G34" s="287">
        <v>1858286.7883333333</v>
      </c>
      <c r="H34" s="180" t="s">
        <v>322</v>
      </c>
      <c r="I34" s="135">
        <v>0.1</v>
      </c>
      <c r="J34" s="255">
        <f t="shared" si="0"/>
        <v>0.9</v>
      </c>
      <c r="K34" s="263">
        <f t="shared" si="20"/>
        <v>185828.67883333334</v>
      </c>
      <c r="L34" s="257">
        <f t="shared" si="1"/>
        <v>1672458.1095</v>
      </c>
      <c r="M34" s="462">
        <f>VLOOKUP($H34,'Cost Drivers'!$A$2:$R$66,2,FALSE)</f>
        <v>44</v>
      </c>
      <c r="N34" s="258">
        <f t="shared" si="2"/>
        <v>38010.411579545456</v>
      </c>
      <c r="O34" s="187">
        <f t="shared" si="5"/>
        <v>1661251.7893022452</v>
      </c>
      <c r="P34" s="480">
        <f>VLOOKUP($H34,'Cost Drivers'!$A$2:$R$66,4,FALSE)</f>
        <v>43.705177614972598</v>
      </c>
      <c r="Q34" s="264">
        <f t="shared" si="21"/>
        <v>38010.411579545456</v>
      </c>
      <c r="R34" s="187">
        <f t="shared" si="22"/>
        <v>1616522.453033468</v>
      </c>
      <c r="S34" s="182">
        <f>VLOOKUP($H34,'Cost Drivers'!$A$2:$R$66,6,FALSE)</f>
        <v>42.528412239118381</v>
      </c>
      <c r="T34" s="264">
        <f t="shared" si="23"/>
        <v>38010.411579545456</v>
      </c>
      <c r="U34" s="187">
        <f t="shared" si="24"/>
        <v>1650083.8469133873</v>
      </c>
      <c r="V34" s="182">
        <f>VLOOKUP($H34,'Cost Drivers'!$A$2:$R$66,8,FALSE)</f>
        <v>43.411364895647353</v>
      </c>
      <c r="W34" s="264">
        <f t="shared" si="25"/>
        <v>38010.411579545456</v>
      </c>
      <c r="X34" s="187">
        <f t="shared" si="26"/>
        <v>1560567.6076624882</v>
      </c>
      <c r="Y34" s="182">
        <f>VLOOKUP($H34,'Cost Drivers'!$A$2:$R$66,10,FALSE)</f>
        <v>41.056319645385699</v>
      </c>
      <c r="Z34" s="264">
        <f t="shared" si="27"/>
        <v>38010.411579545456</v>
      </c>
      <c r="AA34" s="187">
        <f t="shared" si="28"/>
        <v>1627690.3954223264</v>
      </c>
      <c r="AB34" s="182">
        <f>VLOOKUP($H34,'Cost Drivers'!$A$2:$R$66,12,FALSE)</f>
        <v>42.822224958443634</v>
      </c>
      <c r="AC34" s="264">
        <f t="shared" si="29"/>
        <v>38010.411579545456</v>
      </c>
      <c r="AD34" s="187">
        <f t="shared" si="30"/>
        <v>1448657.9169205285</v>
      </c>
      <c r="AE34" s="182">
        <f>VLOOKUP($H34,'Cost Drivers'!$A$2:$R$66,14,FALSE)</f>
        <v>38.112134457920334</v>
      </c>
      <c r="AF34" s="264">
        <f t="shared" si="31"/>
        <v>38010.411579545456</v>
      </c>
      <c r="AG34" s="187">
        <f t="shared" si="32"/>
        <v>1582961.0591535491</v>
      </c>
      <c r="AH34" s="182">
        <f>VLOOKUP($H34,'Cost Drivers'!$A$2:$R$66,16,FALSE)</f>
        <v>41.645459582589417</v>
      </c>
      <c r="AI34" s="264">
        <f t="shared" si="33"/>
        <v>38010.411579545456</v>
      </c>
      <c r="AJ34" s="187">
        <f t="shared" si="34"/>
        <v>1224838.5354366088</v>
      </c>
      <c r="AK34" s="182">
        <f>VLOOKUP($H34,'Cost Drivers'!$A$2:$R$66,18,FALSE)</f>
        <v>32.223764082989597</v>
      </c>
      <c r="AL34" s="264">
        <f t="shared" si="35"/>
        <v>38010.411579545456</v>
      </c>
      <c r="AM34" s="187">
        <f t="shared" si="36"/>
        <v>1672458.1095</v>
      </c>
      <c r="AN34" s="182">
        <f>VLOOKUP($H34,'Cost Drivers'!$A$3:$V$67,20,FALSE)</f>
        <v>44</v>
      </c>
      <c r="AO34" s="264">
        <f t="shared" si="37"/>
        <v>38010.411579545456</v>
      </c>
      <c r="AP34" s="187">
        <f t="shared" si="38"/>
        <v>1672458.1095</v>
      </c>
      <c r="AQ34" s="182">
        <f>VLOOKUP($H34,'Cost Drivers'!$A$3:$V$67,22,FALSE)</f>
        <v>44</v>
      </c>
      <c r="AR34" s="264">
        <f t="shared" si="39"/>
        <v>38010.411579545456</v>
      </c>
    </row>
    <row r="35" spans="2:44" outlineLevel="1" x14ac:dyDescent="0.25">
      <c r="B35" s="260" t="s">
        <v>261</v>
      </c>
      <c r="C35" s="261" t="s">
        <v>251</v>
      </c>
      <c r="D35" s="182">
        <f t="shared" si="3"/>
        <v>2000</v>
      </c>
      <c r="E35" s="262" t="s">
        <v>220</v>
      </c>
      <c r="F35" s="262" t="s">
        <v>206</v>
      </c>
      <c r="G35" s="287">
        <v>10933.390000000001</v>
      </c>
      <c r="H35" s="180" t="s">
        <v>320</v>
      </c>
      <c r="I35" s="135">
        <v>0.1</v>
      </c>
      <c r="J35" s="255">
        <f t="shared" si="0"/>
        <v>0.9</v>
      </c>
      <c r="K35" s="263">
        <f t="shared" si="20"/>
        <v>1093.3390000000002</v>
      </c>
      <c r="L35" s="257">
        <f t="shared" si="1"/>
        <v>9840.0510000000013</v>
      </c>
      <c r="M35" s="462">
        <f>VLOOKUP($H35,'Cost Drivers'!$A$2:$R$66,2,FALSE)</f>
        <v>41</v>
      </c>
      <c r="N35" s="258">
        <f t="shared" si="2"/>
        <v>240.00124390243906</v>
      </c>
      <c r="O35" s="187">
        <f t="shared" si="5"/>
        <v>9769.2932608631418</v>
      </c>
      <c r="P35" s="480">
        <f>VLOOKUP($H35,'Cost Drivers'!$A$2:$R$66,4,FALSE)</f>
        <v>40.705177614972598</v>
      </c>
      <c r="Q35" s="264">
        <f t="shared" si="21"/>
        <v>240.00124390243906</v>
      </c>
      <c r="R35" s="187">
        <f t="shared" si="22"/>
        <v>9486.8681068768074</v>
      </c>
      <c r="S35" s="182">
        <f>VLOOKUP($H35,'Cost Drivers'!$A$2:$R$66,6,FALSE)</f>
        <v>39.528412239118381</v>
      </c>
      <c r="T35" s="264">
        <f t="shared" si="23"/>
        <v>240.00124390243906</v>
      </c>
      <c r="U35" s="187">
        <f t="shared" si="24"/>
        <v>9698.7778427507237</v>
      </c>
      <c r="V35" s="182">
        <f>VLOOKUP($H35,'Cost Drivers'!$A$2:$R$66,8,FALSE)</f>
        <v>40.411364895647353</v>
      </c>
      <c r="W35" s="264">
        <f t="shared" si="25"/>
        <v>240.00124390243906</v>
      </c>
      <c r="X35" s="187">
        <f t="shared" si="26"/>
        <v>9133.5640532413963</v>
      </c>
      <c r="Y35" s="182">
        <f>VLOOKUP($H35,'Cost Drivers'!$A$2:$R$66,10,FALSE)</f>
        <v>38.056319645385699</v>
      </c>
      <c r="Z35" s="264">
        <f t="shared" si="27"/>
        <v>240.00124390243906</v>
      </c>
      <c r="AA35" s="187">
        <f t="shared" si="28"/>
        <v>9557.3835249892272</v>
      </c>
      <c r="AB35" s="182">
        <f>VLOOKUP($H35,'Cost Drivers'!$A$2:$R$66,12,FALSE)</f>
        <v>39.822224958443634</v>
      </c>
      <c r="AC35" s="264">
        <f t="shared" si="29"/>
        <v>240.00124390243906</v>
      </c>
      <c r="AD35" s="187">
        <f t="shared" si="30"/>
        <v>8426.9559459705724</v>
      </c>
      <c r="AE35" s="182">
        <f>VLOOKUP($H35,'Cost Drivers'!$A$2:$R$66,14,FALSE)</f>
        <v>35.112134457920334</v>
      </c>
      <c r="AF35" s="264">
        <f t="shared" si="31"/>
        <v>240.00124390243906</v>
      </c>
      <c r="AG35" s="187">
        <f t="shared" si="32"/>
        <v>9274.9583710028928</v>
      </c>
      <c r="AH35" s="182">
        <f>VLOOKUP($H35,'Cost Drivers'!$A$2:$R$66,16,FALSE)</f>
        <v>38.645459582589417</v>
      </c>
      <c r="AI35" s="264">
        <f t="shared" si="33"/>
        <v>240.00124390243906</v>
      </c>
      <c r="AJ35" s="187">
        <f t="shared" si="34"/>
        <v>7013.7397314289246</v>
      </c>
      <c r="AK35" s="182">
        <f>VLOOKUP($H35,'Cost Drivers'!$A$2:$R$66,18,FALSE)</f>
        <v>29.223764082989597</v>
      </c>
      <c r="AL35" s="264">
        <f t="shared" si="35"/>
        <v>240.00124390243906</v>
      </c>
      <c r="AM35" s="187">
        <f t="shared" si="36"/>
        <v>9840.0510000000013</v>
      </c>
      <c r="AN35" s="182">
        <f>VLOOKUP($H35,'Cost Drivers'!$A$3:$V$67,20,FALSE)</f>
        <v>41</v>
      </c>
      <c r="AO35" s="264">
        <f t="shared" si="37"/>
        <v>240.00124390243906</v>
      </c>
      <c r="AP35" s="187">
        <f t="shared" si="38"/>
        <v>9840.0510000000013</v>
      </c>
      <c r="AQ35" s="182">
        <f>VLOOKUP($H35,'Cost Drivers'!$A$3:$V$67,22,FALSE)</f>
        <v>41</v>
      </c>
      <c r="AR35" s="264">
        <f t="shared" si="39"/>
        <v>240.00124390243906</v>
      </c>
    </row>
    <row r="36" spans="2:44" ht="27" outlineLevel="1" x14ac:dyDescent="0.25">
      <c r="B36" s="250" t="s">
        <v>261</v>
      </c>
      <c r="C36" s="251" t="s">
        <v>252</v>
      </c>
      <c r="D36" s="182">
        <f t="shared" si="3"/>
        <v>3000</v>
      </c>
      <c r="E36" s="252" t="s">
        <v>220</v>
      </c>
      <c r="F36" s="252" t="s">
        <v>269</v>
      </c>
      <c r="G36" s="253">
        <f>SUM(G37:G42)</f>
        <v>418120.76333333342</v>
      </c>
      <c r="H36" s="181" t="s">
        <v>270</v>
      </c>
      <c r="I36" s="254">
        <f>K36/G36</f>
        <v>0.31103682971846991</v>
      </c>
      <c r="J36" s="255">
        <f t="shared" si="0"/>
        <v>0.68896317028153009</v>
      </c>
      <c r="K36" s="256">
        <f>SUMIFS(K$19:K$168, $B$19:$B$168,$B36,$D$19:$D$168,$C36,$F$19:$F$168,"&lt;&gt;"&amp;$F36)</f>
        <v>130050.95666666668</v>
      </c>
      <c r="L36" s="257">
        <f t="shared" si="1"/>
        <v>288069.80666666676</v>
      </c>
      <c r="M36" s="462">
        <f>VLOOKUP($H36,'Cost Drivers'!$A$2:$R$66,2,FALSE)</f>
        <v>27071.666666666668</v>
      </c>
      <c r="N36" s="258">
        <f t="shared" si="2"/>
        <v>10.641007449362805</v>
      </c>
      <c r="O36" s="256">
        <f>SUMIFS(O$19:O$168, $E$19:$E$168,$E36,$C$19:$C$168,"3100")+SUMIFS(O$19:O$168, $E$19:$E$168,$E36,$C$19:$C$168,"3200")+SUMIFS(O$19:O$168, $E$19:$E$168,$E36,$C$19:$C$168,"3300")+SUMIFS(O$19:O$168, $E$19:$E$168,$E36,$C$19:$C$168,"3400")</f>
        <v>117379.7536463979</v>
      </c>
      <c r="P36" s="480">
        <f>VLOOKUP($H36,'Cost Drivers'!$A$2:$R$66,4,FALSE)</f>
        <v>26877</v>
      </c>
      <c r="Q36" s="264">
        <f>O36/P36</f>
        <v>4.3672937324254164</v>
      </c>
      <c r="R36" s="256">
        <f>SUMIFS(R$19:R$168, $E$19:$E$168,$E36,$C$19:$C$168,"3100")+SUMIFS(R$19:R$168, $E$19:$E$168,$E36,$C$19:$C$168,"3200")+SUMIFS(R$19:R$168, $E$19:$E$168,$E36,$C$19:$C$168,"3300")+SUMIFS(R$19:R$168, $E$19:$E$168,$E36,$C$19:$C$168,"3400")</f>
        <v>113148.2458966093</v>
      </c>
      <c r="S36" s="182">
        <f>VLOOKUP($H36,'Cost Drivers'!$A$2:$R$66,6,FALSE)</f>
        <v>26100</v>
      </c>
      <c r="T36" s="264">
        <f>R36/S36</f>
        <v>4.3351818351191298</v>
      </c>
      <c r="U36" s="256">
        <f>SUMIFS(U$19:U$168, $E$19:$E$168,$E36,$C$19:$C$168,"3100")+SUMIFS(U$19:U$168, $E$19:$E$168,$E36,$C$19:$C$168,"3200")+SUMIFS(U$19:U$168, $E$19:$E$168,$E36,$C$19:$C$168,"3300")+SUMIFS(U$19:U$168, $E$19:$E$168,$E36,$C$19:$C$168,"3400")</f>
        <v>116498.73969936876</v>
      </c>
      <c r="V36" s="182">
        <f>VLOOKUP($H36,'Cost Drivers'!$A$2:$R$66,8,FALSE)</f>
        <v>26683</v>
      </c>
      <c r="W36" s="264">
        <f>U36/V36</f>
        <v>4.366028546241755</v>
      </c>
      <c r="X36" s="256">
        <f>SUMIFS(X$19:X$168, $E$19:$E$168,$E36,$C$19:$C$168,"3100")+SUMIFS(X$19:X$168, $E$19:$E$168,$E36,$C$19:$C$168,"3200")+SUMIFS(X$19:X$168, $E$19:$E$168,$E36,$C$19:$C$168,"3300")+SUMIFS(X$19:X$168, $E$19:$E$168,$E36,$C$19:$C$168,"3400")</f>
        <v>108418.42005495226</v>
      </c>
      <c r="Y36" s="182">
        <f>VLOOKUP($H36,'Cost Drivers'!$A$2:$R$66,10,FALSE)</f>
        <v>25128</v>
      </c>
      <c r="Z36" s="264">
        <f>X36/Y36</f>
        <v>4.3146458156221055</v>
      </c>
      <c r="AA36" s="256">
        <f>SUMIFS(AA$19:AA$168, $E$19:$E$168,$E36,$C$19:$C$168,"3100")+SUMIFS(AA$19:AA$168, $E$19:$E$168,$E36,$C$19:$C$168,"3200")+SUMIFS(AA$19:AA$168, $E$19:$E$168,$E36,$C$19:$C$168,"3300")+SUMIFS(AA$19:AA$168, $E$19:$E$168,$E36,$C$19:$C$168,"3400")</f>
        <v>114734.64960747139</v>
      </c>
      <c r="AB36" s="182">
        <f>VLOOKUP($H36,'Cost Drivers'!$A$2:$R$66,12,FALSE)</f>
        <v>26294</v>
      </c>
      <c r="AC36" s="264">
        <f>AA36/AB36</f>
        <v>4.3635296876652996</v>
      </c>
      <c r="AD36" s="256">
        <f>SUMIFS(AD$19:AD$168, $E$19:$E$168,$E36,$C$19:$C$168,"3100")+SUMIFS(AD$19:AD$168, $E$19:$E$168,$E36,$C$19:$C$168,"3200")+SUMIFS(AD$19:AD$168, $E$19:$E$168,$E36,$C$19:$C$168,"3300")+SUMIFS(AD$19:AD$168, $E$19:$E$168,$E36,$C$19:$C$168,"3400")</f>
        <v>98878.610443929909</v>
      </c>
      <c r="AE36" s="182">
        <f>VLOOKUP($H36,'Cost Drivers'!$A$2:$R$66,14,FALSE)</f>
        <v>23184</v>
      </c>
      <c r="AF36" s="264">
        <f>AD36/AE36</f>
        <v>4.2649504159735123</v>
      </c>
      <c r="AG36" s="256">
        <f>SUMIFS(AG$19:AG$168, $E$19:$E$168,$E36,$C$19:$C$168,"3100")+SUMIFS(AG$19:AG$168, $E$19:$E$168,$E36,$C$19:$C$168,"3200")+SUMIFS(AG$19:AG$168, $E$19:$E$168,$E36,$C$19:$C$168,"3300")+SUMIFS(AG$19:AG$168, $E$19:$E$168,$E36,$C$19:$C$168,"3400")</f>
        <v>111240.59479259905</v>
      </c>
      <c r="AH36" s="182">
        <f>VLOOKUP($H36,'Cost Drivers'!$A$2:$R$66,16,FALSE)</f>
        <v>25517</v>
      </c>
      <c r="AI36" s="264">
        <f>AG36/AH36</f>
        <v>4.3594699530743837</v>
      </c>
      <c r="AJ36" s="256">
        <f>SUMIFS(AJ$19:AJ$168, $E$19:$E$168,$E36,$C$19:$C$168,"3100")+SUMIFS(AJ$19:AJ$168, $E$19:$E$168,$E36,$C$19:$C$168,"3200")+SUMIFS(AJ$19:AJ$168, $E$19:$E$168,$E36,$C$19:$C$168,"3300")+SUMIFS(AJ$19:AJ$168, $E$19:$E$168,$E36,$C$19:$C$168,"3400")</f>
        <v>79959.307077301783</v>
      </c>
      <c r="AK36" s="182">
        <f>VLOOKUP($H36,'Cost Drivers'!$A$2:$R$66,18,FALSE)</f>
        <v>19296</v>
      </c>
      <c r="AL36" s="264">
        <f>AJ36/AK36</f>
        <v>4.1438281030939983</v>
      </c>
      <c r="AM36" s="256">
        <f>SUMIFS(AM$19:AM$168, $E$19:$E$168,$E36,$C$19:$C$168,"3100")+SUMIFS(AM$19:AM$168, $E$19:$E$168,$E36,$C$19:$C$168,"3200")+SUMIFS(AM$19:AM$168, $E$19:$E$168,$E36,$C$19:$C$168,"3300")+SUMIFS(AM$19:AM$168, $E$19:$E$168,$E36,$C$19:$C$168,"3400")</f>
        <v>118262.14239198645</v>
      </c>
      <c r="AN36" s="182">
        <f>VLOOKUP($H36,'Cost Drivers'!$A$3:$V$67,20,FALSE)</f>
        <v>27072</v>
      </c>
      <c r="AO36" s="264">
        <f>AM36/AN36</f>
        <v>4.3684302006496178</v>
      </c>
      <c r="AP36" s="256">
        <f>SUMIFS(AP$19:AP$168, $E$19:$E$168,$E36,$C$19:$C$168,"3100")+SUMIFS(AP$19:AP$168, $E$19:$E$168,$E36,$C$19:$C$168,"3200")+SUMIFS(AP$19:AP$168, $E$19:$E$168,$E36,$C$19:$C$168,"3300")+SUMIFS(AP$19:AP$168, $E$19:$E$168,$E36,$C$19:$C$168,"3400")</f>
        <v>117885.40013175749</v>
      </c>
      <c r="AQ36" s="182">
        <f>VLOOKUP($H36,'Cost Drivers'!$A$3:$V$67,22,FALSE)</f>
        <v>27072</v>
      </c>
      <c r="AR36" s="264">
        <f>AP36/AQ36</f>
        <v>4.3545138937558177</v>
      </c>
    </row>
    <row r="37" spans="2:44" outlineLevel="1" x14ac:dyDescent="0.25">
      <c r="B37" s="260" t="s">
        <v>261</v>
      </c>
      <c r="C37" s="261" t="s">
        <v>253</v>
      </c>
      <c r="D37" s="182">
        <f t="shared" si="3"/>
        <v>3000</v>
      </c>
      <c r="E37" s="262" t="s">
        <v>220</v>
      </c>
      <c r="F37" s="262" t="s">
        <v>207</v>
      </c>
      <c r="G37" s="287">
        <v>11206.333333333334</v>
      </c>
      <c r="H37" s="180" t="s">
        <v>330</v>
      </c>
      <c r="I37" s="135">
        <v>1</v>
      </c>
      <c r="J37" s="255">
        <f t="shared" si="0"/>
        <v>0</v>
      </c>
      <c r="K37" s="263">
        <f t="shared" ref="K37:K42" si="40">G37*I37</f>
        <v>11206.333333333334</v>
      </c>
      <c r="L37" s="257">
        <f t="shared" si="1"/>
        <v>0</v>
      </c>
      <c r="M37" s="462">
        <f>VLOOKUP($H37,'Cost Drivers'!$A$2:$R$66,2,FALSE)</f>
        <v>45.500000000000064</v>
      </c>
      <c r="N37" s="258">
        <f t="shared" si="2"/>
        <v>0</v>
      </c>
      <c r="O37" s="187">
        <f t="shared" ref="O37:O42" si="41">P37*Q37</f>
        <v>0</v>
      </c>
      <c r="P37" s="480">
        <f>VLOOKUP($H37,'Cost Drivers'!$A$2:$R$66,4,FALSE)</f>
        <v>46</v>
      </c>
      <c r="Q37" s="264">
        <f>$N37</f>
        <v>0</v>
      </c>
      <c r="R37" s="187">
        <f t="shared" ref="R37:R42" si="42">S37*T37</f>
        <v>0</v>
      </c>
      <c r="S37" s="182">
        <f>VLOOKUP($H37,'Cost Drivers'!$A$2:$R$66,6,FALSE)</f>
        <v>45</v>
      </c>
      <c r="T37" s="264">
        <f>$N37</f>
        <v>0</v>
      </c>
      <c r="U37" s="187">
        <f t="shared" ref="U37:U42" si="43">V37*W37</f>
        <v>0</v>
      </c>
      <c r="V37" s="182">
        <f>VLOOKUP($H37,'Cost Drivers'!$A$2:$R$66,8,FALSE)</f>
        <v>46</v>
      </c>
      <c r="W37" s="264">
        <f>$N37</f>
        <v>0</v>
      </c>
      <c r="X37" s="187">
        <f t="shared" ref="X37:X42" si="44">Y37*Z37</f>
        <v>0</v>
      </c>
      <c r="Y37" s="182">
        <f>VLOOKUP($H37,'Cost Drivers'!$A$2:$R$66,10,FALSE)</f>
        <v>44</v>
      </c>
      <c r="Z37" s="264">
        <f>$N37</f>
        <v>0</v>
      </c>
      <c r="AA37" s="187">
        <f t="shared" ref="AA37:AA42" si="45">AB37*AC37</f>
        <v>0</v>
      </c>
      <c r="AB37" s="182">
        <f>VLOOKUP($H37,'Cost Drivers'!$A$2:$R$66,12,FALSE)</f>
        <v>46</v>
      </c>
      <c r="AC37" s="264">
        <f>$N37</f>
        <v>0</v>
      </c>
      <c r="AD37" s="187">
        <f t="shared" ref="AD37:AD42" si="46">AE37*AF37</f>
        <v>0</v>
      </c>
      <c r="AE37" s="182">
        <f>VLOOKUP($H37,'Cost Drivers'!$A$2:$R$66,14,FALSE)</f>
        <v>42.400000000000006</v>
      </c>
      <c r="AF37" s="264">
        <f>$N37</f>
        <v>0</v>
      </c>
      <c r="AG37" s="187">
        <f t="shared" ref="AG37:AG42" si="47">AH37*AI37</f>
        <v>0</v>
      </c>
      <c r="AH37" s="182">
        <f>VLOOKUP($H37,'Cost Drivers'!$A$2:$R$66,16,FALSE)</f>
        <v>46</v>
      </c>
      <c r="AI37" s="264">
        <f>$N37</f>
        <v>0</v>
      </c>
      <c r="AJ37" s="187">
        <f t="shared" ref="AJ37:AJ42" si="48">AK37*AL37</f>
        <v>0</v>
      </c>
      <c r="AK37" s="182">
        <f>VLOOKUP($H37,'Cost Drivers'!$A$2:$R$66,18,FALSE)</f>
        <v>38</v>
      </c>
      <c r="AL37" s="264">
        <f>$N37</f>
        <v>0</v>
      </c>
      <c r="AM37" s="187">
        <f t="shared" ref="AM37:AM42" si="49">AN37*AO37</f>
        <v>0</v>
      </c>
      <c r="AN37" s="182">
        <f>VLOOKUP($H37,'Cost Drivers'!$A$3:$V$67,20,FALSE)</f>
        <v>45.500000000000064</v>
      </c>
      <c r="AO37" s="264">
        <f>$N37</f>
        <v>0</v>
      </c>
      <c r="AP37" s="187">
        <f t="shared" ref="AP37:AP42" si="50">AQ37*AR37</f>
        <v>0</v>
      </c>
      <c r="AQ37" s="182">
        <f>VLOOKUP($H37,'Cost Drivers'!$A$3:$V$67,22,FALSE)</f>
        <v>45.500000000000064</v>
      </c>
      <c r="AR37" s="264">
        <f>$N37</f>
        <v>0</v>
      </c>
    </row>
    <row r="38" spans="2:44" outlineLevel="1" x14ac:dyDescent="0.25">
      <c r="B38" s="260" t="s">
        <v>261</v>
      </c>
      <c r="C38" s="261" t="s">
        <v>254</v>
      </c>
      <c r="D38" s="182">
        <f t="shared" si="3"/>
        <v>3000</v>
      </c>
      <c r="E38" s="262" t="s">
        <v>220</v>
      </c>
      <c r="F38" s="262" t="s">
        <v>208</v>
      </c>
      <c r="G38" s="287">
        <v>126034.98166666667</v>
      </c>
      <c r="H38" s="180" t="s">
        <v>308</v>
      </c>
      <c r="I38" s="135">
        <v>0.5</v>
      </c>
      <c r="J38" s="255">
        <f t="shared" si="0"/>
        <v>0.5</v>
      </c>
      <c r="K38" s="263">
        <f t="shared" si="40"/>
        <v>63017.490833333337</v>
      </c>
      <c r="L38" s="257">
        <f t="shared" si="1"/>
        <v>63017.490833333337</v>
      </c>
      <c r="M38" s="462">
        <f>VLOOKUP($H38,'Cost Drivers'!$A$2:$R$66,2,FALSE)</f>
        <v>7861.666666666667</v>
      </c>
      <c r="N38" s="258">
        <f t="shared" si="2"/>
        <v>8.0157927708289165</v>
      </c>
      <c r="O38" s="187">
        <f t="shared" si="41"/>
        <v>61954.062325736697</v>
      </c>
      <c r="P38" s="480">
        <f>VLOOKUP($H38,'Cost Drivers'!$A$2:$R$66,4,FALSE)</f>
        <v>7729</v>
      </c>
      <c r="Q38" s="264">
        <f>$N38</f>
        <v>8.0157927708289165</v>
      </c>
      <c r="R38" s="187">
        <f t="shared" si="42"/>
        <v>59324.882296904812</v>
      </c>
      <c r="S38" s="182">
        <f>VLOOKUP($H38,'Cost Drivers'!$A$2:$R$66,6,FALSE)</f>
        <v>7401</v>
      </c>
      <c r="T38" s="264">
        <f>$N38</f>
        <v>8.0157927708289165</v>
      </c>
      <c r="U38" s="187">
        <f t="shared" si="43"/>
        <v>61473.114759486962</v>
      </c>
      <c r="V38" s="182">
        <f>VLOOKUP($H38,'Cost Drivers'!$A$2:$R$66,8,FALSE)</f>
        <v>7669</v>
      </c>
      <c r="W38" s="264">
        <f>$N38</f>
        <v>8.0157927708289165</v>
      </c>
      <c r="X38" s="187">
        <f t="shared" si="44"/>
        <v>56599.512754822979</v>
      </c>
      <c r="Y38" s="182">
        <f>VLOOKUP($H38,'Cost Drivers'!$A$2:$R$66,10,FALSE)</f>
        <v>7061</v>
      </c>
      <c r="Z38" s="264">
        <f>$N38</f>
        <v>8.0157927708289165</v>
      </c>
      <c r="AA38" s="187">
        <f t="shared" si="45"/>
        <v>60511.219626987491</v>
      </c>
      <c r="AB38" s="182">
        <f>VLOOKUP($H38,'Cost Drivers'!$A$2:$R$66,12,FALSE)</f>
        <v>7549</v>
      </c>
      <c r="AC38" s="264">
        <f>$N38</f>
        <v>8.0157927708289165</v>
      </c>
      <c r="AD38" s="187">
        <f t="shared" si="46"/>
        <v>51068.615742951028</v>
      </c>
      <c r="AE38" s="182">
        <f>VLOOKUP($H38,'Cost Drivers'!$A$2:$R$66,14,FALSE)</f>
        <v>6371</v>
      </c>
      <c r="AF38" s="264">
        <f>$N38</f>
        <v>8.0157927708289165</v>
      </c>
      <c r="AG38" s="187">
        <f t="shared" si="47"/>
        <v>58619.492533071869</v>
      </c>
      <c r="AH38" s="182">
        <f>VLOOKUP($H38,'Cost Drivers'!$A$2:$R$66,16,FALSE)</f>
        <v>7313</v>
      </c>
      <c r="AI38" s="264">
        <f>$N38</f>
        <v>8.0157927708289165</v>
      </c>
      <c r="AJ38" s="187">
        <f t="shared" si="48"/>
        <v>40167.137574623703</v>
      </c>
      <c r="AK38" s="182">
        <f>VLOOKUP($H38,'Cost Drivers'!$A$2:$R$66,18,FALSE)</f>
        <v>5011</v>
      </c>
      <c r="AL38" s="264">
        <f>$N38</f>
        <v>8.0157927708289165</v>
      </c>
      <c r="AM38" s="187">
        <f t="shared" si="49"/>
        <v>62435.009891986432</v>
      </c>
      <c r="AN38" s="182">
        <f>VLOOKUP($H38,'Cost Drivers'!$A$3:$V$67,20,FALSE)</f>
        <v>7789</v>
      </c>
      <c r="AO38" s="264">
        <f>$N38</f>
        <v>8.0157927708289165</v>
      </c>
      <c r="AP38" s="187">
        <f t="shared" si="50"/>
        <v>62058.267631757473</v>
      </c>
      <c r="AQ38" s="182">
        <f>VLOOKUP($H38,'Cost Drivers'!$A$3:$V$67,22,FALSE)</f>
        <v>7742</v>
      </c>
      <c r="AR38" s="264">
        <f>$N38</f>
        <v>8.0157927708289165</v>
      </c>
    </row>
    <row r="39" spans="2:44" outlineLevel="1" x14ac:dyDescent="0.25">
      <c r="B39" s="260" t="s">
        <v>261</v>
      </c>
      <c r="C39" s="261" t="s">
        <v>255</v>
      </c>
      <c r="D39" s="182">
        <f t="shared" si="3"/>
        <v>3000</v>
      </c>
      <c r="E39" s="262" t="s">
        <v>220</v>
      </c>
      <c r="F39" s="262" t="s">
        <v>209</v>
      </c>
      <c r="G39" s="287">
        <v>111654.26500000001</v>
      </c>
      <c r="H39" s="180" t="s">
        <v>320</v>
      </c>
      <c r="I39" s="135">
        <v>0.5</v>
      </c>
      <c r="J39" s="255">
        <f t="shared" si="0"/>
        <v>0.5</v>
      </c>
      <c r="K39" s="263">
        <f t="shared" si="40"/>
        <v>55827.132500000007</v>
      </c>
      <c r="L39" s="257">
        <f t="shared" si="1"/>
        <v>55827.132500000007</v>
      </c>
      <c r="M39" s="462">
        <f>VLOOKUP($H39,'Cost Drivers'!$A$2:$R$66,2,FALSE)</f>
        <v>41</v>
      </c>
      <c r="N39" s="258">
        <f t="shared" si="2"/>
        <v>1361.6373780487806</v>
      </c>
      <c r="O39" s="187">
        <f t="shared" si="41"/>
        <v>55425.691320661208</v>
      </c>
      <c r="P39" s="480">
        <f>VLOOKUP($H39,'Cost Drivers'!$A$2:$R$66,4,FALSE)</f>
        <v>40.705177614972598</v>
      </c>
      <c r="Q39" s="264">
        <f>$N39</f>
        <v>1361.6373780487806</v>
      </c>
      <c r="R39" s="187">
        <f t="shared" si="42"/>
        <v>53823.363599704484</v>
      </c>
      <c r="S39" s="182">
        <f>VLOOKUP($H39,'Cost Drivers'!$A$2:$R$66,6,FALSE)</f>
        <v>39.528412239118381</v>
      </c>
      <c r="T39" s="264">
        <f>$N39</f>
        <v>1361.6373780487806</v>
      </c>
      <c r="U39" s="187">
        <f t="shared" si="43"/>
        <v>55025.624939881796</v>
      </c>
      <c r="V39" s="182">
        <f>VLOOKUP($H39,'Cost Drivers'!$A$2:$R$66,8,FALSE)</f>
        <v>40.411364895647353</v>
      </c>
      <c r="W39" s="264">
        <f>$N39</f>
        <v>1361.6373780487806</v>
      </c>
      <c r="X39" s="187">
        <f t="shared" si="44"/>
        <v>51818.907300129285</v>
      </c>
      <c r="Y39" s="182">
        <f>VLOOKUP($H39,'Cost Drivers'!$A$2:$R$66,10,FALSE)</f>
        <v>38.056319645385699</v>
      </c>
      <c r="Z39" s="264">
        <f>$N39</f>
        <v>1361.6373780487806</v>
      </c>
      <c r="AA39" s="187">
        <f t="shared" si="45"/>
        <v>54223.429980483903</v>
      </c>
      <c r="AB39" s="182">
        <f>VLOOKUP($H39,'Cost Drivers'!$A$2:$R$66,12,FALSE)</f>
        <v>39.822224958443634</v>
      </c>
      <c r="AC39" s="264">
        <f>$N39</f>
        <v>1361.6373780487806</v>
      </c>
      <c r="AD39" s="187">
        <f t="shared" si="46"/>
        <v>47809.994700978888</v>
      </c>
      <c r="AE39" s="182">
        <f>VLOOKUP($H39,'Cost Drivers'!$A$2:$R$66,14,FALSE)</f>
        <v>35.112134457920334</v>
      </c>
      <c r="AF39" s="264">
        <f>$N39</f>
        <v>1361.6373780487806</v>
      </c>
      <c r="AG39" s="187">
        <f t="shared" si="47"/>
        <v>52621.102259527179</v>
      </c>
      <c r="AH39" s="182">
        <f>VLOOKUP($H39,'Cost Drivers'!$A$2:$R$66,16,FALSE)</f>
        <v>38.645459582589417</v>
      </c>
      <c r="AI39" s="264">
        <f>$N39</f>
        <v>1361.6373780487806</v>
      </c>
      <c r="AJ39" s="187">
        <f t="shared" si="48"/>
        <v>39792.16950267808</v>
      </c>
      <c r="AK39" s="182">
        <f>VLOOKUP($H39,'Cost Drivers'!$A$2:$R$66,18,FALSE)</f>
        <v>29.223764082989597</v>
      </c>
      <c r="AL39" s="264">
        <f>$N39</f>
        <v>1361.6373780487806</v>
      </c>
      <c r="AM39" s="187">
        <f t="shared" si="49"/>
        <v>55827.132500000007</v>
      </c>
      <c r="AN39" s="182">
        <f>VLOOKUP($H39,'Cost Drivers'!$A$3:$V$67,20,FALSE)</f>
        <v>41</v>
      </c>
      <c r="AO39" s="264">
        <f>$N39</f>
        <v>1361.6373780487806</v>
      </c>
      <c r="AP39" s="187">
        <f t="shared" si="50"/>
        <v>55827.132500000007</v>
      </c>
      <c r="AQ39" s="182">
        <f>VLOOKUP($H39,'Cost Drivers'!$A$3:$V$67,22,FALSE)</f>
        <v>41</v>
      </c>
      <c r="AR39" s="264">
        <f>$N39</f>
        <v>1361.6373780487806</v>
      </c>
    </row>
    <row r="40" spans="2:44" outlineLevel="1" x14ac:dyDescent="0.25">
      <c r="B40" s="260" t="s">
        <v>261</v>
      </c>
      <c r="C40" s="261" t="s">
        <v>256</v>
      </c>
      <c r="D40" s="182">
        <f t="shared" si="3"/>
        <v>3000</v>
      </c>
      <c r="E40" s="262" t="s">
        <v>220</v>
      </c>
      <c r="F40" s="262" t="s">
        <v>210</v>
      </c>
      <c r="G40" s="287">
        <v>0</v>
      </c>
      <c r="H40" s="180" t="s">
        <v>93</v>
      </c>
      <c r="I40" s="135">
        <v>1</v>
      </c>
      <c r="J40" s="255">
        <f t="shared" si="0"/>
        <v>0</v>
      </c>
      <c r="K40" s="263">
        <f t="shared" si="40"/>
        <v>0</v>
      </c>
      <c r="L40" s="257">
        <f t="shared" si="1"/>
        <v>0</v>
      </c>
      <c r="M40" s="462">
        <f>VLOOKUP($H40,'Cost Drivers'!$A$2:$R$66,2,FALSE)</f>
        <v>1</v>
      </c>
      <c r="N40" s="258">
        <f t="shared" si="2"/>
        <v>0</v>
      </c>
      <c r="O40" s="187">
        <f t="shared" si="41"/>
        <v>0</v>
      </c>
      <c r="P40" s="480">
        <f>VLOOKUP($H40,'Cost Drivers'!$A$2:$R$66,4,FALSE)</f>
        <v>1</v>
      </c>
      <c r="Q40" s="264">
        <f>$N40</f>
        <v>0</v>
      </c>
      <c r="R40" s="187">
        <f t="shared" si="42"/>
        <v>0</v>
      </c>
      <c r="S40" s="182">
        <f>VLOOKUP($H40,'Cost Drivers'!$A$2:$R$66,6,FALSE)</f>
        <v>1</v>
      </c>
      <c r="T40" s="264">
        <f>$N40</f>
        <v>0</v>
      </c>
      <c r="U40" s="187">
        <f t="shared" si="43"/>
        <v>0</v>
      </c>
      <c r="V40" s="182">
        <f>VLOOKUP($H40,'Cost Drivers'!$A$2:$R$66,8,FALSE)</f>
        <v>1</v>
      </c>
      <c r="W40" s="264">
        <f>$N40</f>
        <v>0</v>
      </c>
      <c r="X40" s="187">
        <f t="shared" si="44"/>
        <v>0</v>
      </c>
      <c r="Y40" s="182">
        <f>VLOOKUP($H40,'Cost Drivers'!$A$2:$R$66,10,FALSE)</f>
        <v>1</v>
      </c>
      <c r="Z40" s="264">
        <f>$N40</f>
        <v>0</v>
      </c>
      <c r="AA40" s="187">
        <f t="shared" si="45"/>
        <v>0</v>
      </c>
      <c r="AB40" s="182">
        <f>VLOOKUP($H40,'Cost Drivers'!$A$2:$R$66,12,FALSE)</f>
        <v>1</v>
      </c>
      <c r="AC40" s="264">
        <f>$N40</f>
        <v>0</v>
      </c>
      <c r="AD40" s="187">
        <f t="shared" si="46"/>
        <v>0</v>
      </c>
      <c r="AE40" s="182">
        <f>VLOOKUP($H40,'Cost Drivers'!$A$2:$R$66,14,FALSE)</f>
        <v>1</v>
      </c>
      <c r="AF40" s="264">
        <f>$N40</f>
        <v>0</v>
      </c>
      <c r="AG40" s="187">
        <f t="shared" si="47"/>
        <v>0</v>
      </c>
      <c r="AH40" s="182">
        <f>VLOOKUP($H40,'Cost Drivers'!$A$2:$R$66,16,FALSE)</f>
        <v>1</v>
      </c>
      <c r="AI40" s="264">
        <f>$N40</f>
        <v>0</v>
      </c>
      <c r="AJ40" s="187">
        <f t="shared" si="48"/>
        <v>0</v>
      </c>
      <c r="AK40" s="182">
        <f>VLOOKUP($H40,'Cost Drivers'!$A$2:$R$66,18,FALSE)</f>
        <v>1</v>
      </c>
      <c r="AL40" s="264">
        <f>$N40</f>
        <v>0</v>
      </c>
      <c r="AM40" s="187">
        <f t="shared" si="49"/>
        <v>0</v>
      </c>
      <c r="AN40" s="182">
        <f>VLOOKUP($H40,'Cost Drivers'!$A$3:$V$67,20,FALSE)</f>
        <v>1</v>
      </c>
      <c r="AO40" s="264">
        <f>$N40</f>
        <v>0</v>
      </c>
      <c r="AP40" s="187">
        <f t="shared" si="50"/>
        <v>0</v>
      </c>
      <c r="AQ40" s="182">
        <f>VLOOKUP($H40,'Cost Drivers'!$A$3:$V$67,22,FALSE)</f>
        <v>1</v>
      </c>
      <c r="AR40" s="264">
        <f>$N40</f>
        <v>0</v>
      </c>
    </row>
    <row r="41" spans="2:44" outlineLevel="1" x14ac:dyDescent="0.25">
      <c r="B41" s="250" t="s">
        <v>261</v>
      </c>
      <c r="C41" s="251" t="s">
        <v>257</v>
      </c>
      <c r="D41" s="182">
        <f t="shared" si="3"/>
        <v>4000</v>
      </c>
      <c r="E41" s="252" t="s">
        <v>220</v>
      </c>
      <c r="F41" s="252" t="s">
        <v>211</v>
      </c>
      <c r="G41" s="287">
        <v>445978.92500000005</v>
      </c>
      <c r="H41" s="180" t="s">
        <v>93</v>
      </c>
      <c r="I41" s="135">
        <v>1</v>
      </c>
      <c r="J41" s="255">
        <f t="shared" si="0"/>
        <v>0</v>
      </c>
      <c r="K41" s="263">
        <f t="shared" si="40"/>
        <v>445978.92500000005</v>
      </c>
      <c r="L41" s="257">
        <f t="shared" si="1"/>
        <v>0</v>
      </c>
      <c r="M41" s="462">
        <f>VLOOKUP($H41,'Cost Drivers'!$A$2:$R$66,2,FALSE)</f>
        <v>1</v>
      </c>
      <c r="N41" s="258">
        <f t="shared" si="2"/>
        <v>0</v>
      </c>
      <c r="O41" s="187">
        <f t="shared" si="41"/>
        <v>0</v>
      </c>
      <c r="P41" s="480">
        <f>VLOOKUP($H41,'Cost Drivers'!$A$2:$R$66,4,FALSE)</f>
        <v>1</v>
      </c>
      <c r="Q41" s="264">
        <f>$N41</f>
        <v>0</v>
      </c>
      <c r="R41" s="187">
        <f t="shared" si="42"/>
        <v>0</v>
      </c>
      <c r="S41" s="182">
        <f>VLOOKUP($H41,'Cost Drivers'!$A$2:$R$66,6,FALSE)</f>
        <v>1</v>
      </c>
      <c r="T41" s="264">
        <f>$N41</f>
        <v>0</v>
      </c>
      <c r="U41" s="187">
        <f t="shared" si="43"/>
        <v>0</v>
      </c>
      <c r="V41" s="182">
        <f>VLOOKUP($H41,'Cost Drivers'!$A$2:$R$66,8,FALSE)</f>
        <v>1</v>
      </c>
      <c r="W41" s="264">
        <f>$N41</f>
        <v>0</v>
      </c>
      <c r="X41" s="187">
        <f t="shared" si="44"/>
        <v>0</v>
      </c>
      <c r="Y41" s="182">
        <f>VLOOKUP($H41,'Cost Drivers'!$A$2:$R$66,10,FALSE)</f>
        <v>1</v>
      </c>
      <c r="Z41" s="264">
        <f>$N41</f>
        <v>0</v>
      </c>
      <c r="AA41" s="187">
        <f t="shared" si="45"/>
        <v>0</v>
      </c>
      <c r="AB41" s="182">
        <f>VLOOKUP($H41,'Cost Drivers'!$A$2:$R$66,12,FALSE)</f>
        <v>1</v>
      </c>
      <c r="AC41" s="264">
        <f>$N41</f>
        <v>0</v>
      </c>
      <c r="AD41" s="187">
        <f t="shared" si="46"/>
        <v>0</v>
      </c>
      <c r="AE41" s="182">
        <f>VLOOKUP($H41,'Cost Drivers'!$A$2:$R$66,14,FALSE)</f>
        <v>1</v>
      </c>
      <c r="AF41" s="264">
        <f>$N41</f>
        <v>0</v>
      </c>
      <c r="AG41" s="187">
        <f t="shared" si="47"/>
        <v>0</v>
      </c>
      <c r="AH41" s="182">
        <f>VLOOKUP($H41,'Cost Drivers'!$A$2:$R$66,16,FALSE)</f>
        <v>1</v>
      </c>
      <c r="AI41" s="264">
        <f>$N41</f>
        <v>0</v>
      </c>
      <c r="AJ41" s="187">
        <f t="shared" si="48"/>
        <v>0</v>
      </c>
      <c r="AK41" s="182">
        <f>VLOOKUP($H41,'Cost Drivers'!$A$2:$R$66,18,FALSE)</f>
        <v>1</v>
      </c>
      <c r="AL41" s="264">
        <f>$N41</f>
        <v>0</v>
      </c>
      <c r="AM41" s="187">
        <f t="shared" si="49"/>
        <v>0</v>
      </c>
      <c r="AN41" s="182">
        <f>VLOOKUP($H41,'Cost Drivers'!$A$3:$V$67,20,FALSE)</f>
        <v>1</v>
      </c>
      <c r="AO41" s="264">
        <f>$N41</f>
        <v>0</v>
      </c>
      <c r="AP41" s="187">
        <f t="shared" si="50"/>
        <v>0</v>
      </c>
      <c r="AQ41" s="182">
        <f>VLOOKUP($H41,'Cost Drivers'!$A$3:$V$67,22,FALSE)</f>
        <v>1</v>
      </c>
      <c r="AR41" s="264">
        <f>$N41</f>
        <v>0</v>
      </c>
    </row>
    <row r="42" spans="2:44" outlineLevel="1" x14ac:dyDescent="0.25">
      <c r="B42" s="250" t="s">
        <v>261</v>
      </c>
      <c r="C42" s="251" t="s">
        <v>258</v>
      </c>
      <c r="D42" s="182">
        <f t="shared" si="3"/>
        <v>5000</v>
      </c>
      <c r="E42" s="252" t="s">
        <v>220</v>
      </c>
      <c r="F42" s="252" t="s">
        <v>212</v>
      </c>
      <c r="G42" s="287">
        <v>-276753.7416666667</v>
      </c>
      <c r="H42" s="180" t="s">
        <v>93</v>
      </c>
      <c r="I42" s="135">
        <v>1</v>
      </c>
      <c r="J42" s="255">
        <f t="shared" si="0"/>
        <v>0</v>
      </c>
      <c r="K42" s="263">
        <f t="shared" si="40"/>
        <v>-276753.7416666667</v>
      </c>
      <c r="L42" s="257">
        <f t="shared" si="1"/>
        <v>0</v>
      </c>
      <c r="M42" s="462">
        <f>VLOOKUP($H42,'Cost Drivers'!$A$2:$R$66,2,FALSE)</f>
        <v>1</v>
      </c>
      <c r="N42" s="258">
        <f t="shared" si="2"/>
        <v>0</v>
      </c>
      <c r="O42" s="187">
        <f t="shared" si="41"/>
        <v>0</v>
      </c>
      <c r="P42" s="480">
        <f>VLOOKUP($H42,'Cost Drivers'!$A$2:$R$66,4,FALSE)</f>
        <v>1</v>
      </c>
      <c r="Q42" s="264">
        <f>N42</f>
        <v>0</v>
      </c>
      <c r="R42" s="187">
        <f t="shared" si="42"/>
        <v>0</v>
      </c>
      <c r="S42" s="182">
        <f>VLOOKUP($H42,'Cost Drivers'!$A$2:$R$66,6,FALSE)</f>
        <v>1</v>
      </c>
      <c r="T42" s="264">
        <f>Q42</f>
        <v>0</v>
      </c>
      <c r="U42" s="187">
        <f t="shared" si="43"/>
        <v>0</v>
      </c>
      <c r="V42" s="182">
        <f>VLOOKUP($H42,'Cost Drivers'!$A$2:$R$66,8,FALSE)</f>
        <v>1</v>
      </c>
      <c r="W42" s="264">
        <f>T42</f>
        <v>0</v>
      </c>
      <c r="X42" s="187">
        <f t="shared" si="44"/>
        <v>0</v>
      </c>
      <c r="Y42" s="182">
        <f>VLOOKUP($H42,'Cost Drivers'!$A$2:$R$66,10,FALSE)</f>
        <v>1</v>
      </c>
      <c r="Z42" s="264">
        <f>W42</f>
        <v>0</v>
      </c>
      <c r="AA42" s="187">
        <f t="shared" si="45"/>
        <v>0</v>
      </c>
      <c r="AB42" s="182">
        <f>VLOOKUP($H42,'Cost Drivers'!$A$2:$R$66,12,FALSE)</f>
        <v>1</v>
      </c>
      <c r="AC42" s="264">
        <f>Z42</f>
        <v>0</v>
      </c>
      <c r="AD42" s="187">
        <f t="shared" si="46"/>
        <v>0</v>
      </c>
      <c r="AE42" s="182">
        <f>VLOOKUP($H42,'Cost Drivers'!$A$2:$R$66,14,FALSE)</f>
        <v>1</v>
      </c>
      <c r="AF42" s="264">
        <f>AC42</f>
        <v>0</v>
      </c>
      <c r="AG42" s="187">
        <f t="shared" si="47"/>
        <v>0</v>
      </c>
      <c r="AH42" s="182">
        <f>VLOOKUP($H42,'Cost Drivers'!$A$2:$R$66,16,FALSE)</f>
        <v>1</v>
      </c>
      <c r="AI42" s="264">
        <f>AF42</f>
        <v>0</v>
      </c>
      <c r="AJ42" s="187">
        <f t="shared" si="48"/>
        <v>0</v>
      </c>
      <c r="AK42" s="182">
        <f>VLOOKUP($H42,'Cost Drivers'!$A$2:$R$66,18,FALSE)</f>
        <v>1</v>
      </c>
      <c r="AL42" s="264">
        <f>AI42</f>
        <v>0</v>
      </c>
      <c r="AM42" s="187">
        <f t="shared" si="49"/>
        <v>0</v>
      </c>
      <c r="AN42" s="182">
        <f>VLOOKUP($H42,'Cost Drivers'!$A$3:$V$67,20,FALSE)</f>
        <v>1</v>
      </c>
      <c r="AO42" s="264">
        <f>AL42</f>
        <v>0</v>
      </c>
      <c r="AP42" s="187">
        <f t="shared" si="50"/>
        <v>0</v>
      </c>
      <c r="AQ42" s="182">
        <f>VLOOKUP($H42,'Cost Drivers'!$A$3:$V$67,22,FALSE)</f>
        <v>1</v>
      </c>
      <c r="AR42" s="264">
        <f>AO42</f>
        <v>0</v>
      </c>
    </row>
    <row r="43" spans="2:44" s="249" customFormat="1" ht="30" customHeight="1" x14ac:dyDescent="0.25">
      <c r="B43" s="238" t="s">
        <v>265</v>
      </c>
      <c r="C43" s="239" t="s">
        <v>196</v>
      </c>
      <c r="D43" s="182">
        <f t="shared" si="3"/>
        <v>0</v>
      </c>
      <c r="E43" s="240" t="s">
        <v>266</v>
      </c>
      <c r="F43" s="240" t="s">
        <v>267</v>
      </c>
      <c r="G43" s="241">
        <f ca="1">SUM(G44,G49,G59)</f>
        <v>104877502.58999999</v>
      </c>
      <c r="H43" s="181" t="s">
        <v>270</v>
      </c>
      <c r="I43" s="242">
        <f ca="1">K43/G43</f>
        <v>2.1117131791597778E-2</v>
      </c>
      <c r="J43" s="243">
        <f t="shared" ca="1" si="0"/>
        <v>0.9788828682084022</v>
      </c>
      <c r="K43" s="241">
        <f>SUMIFS(K$19:K$168,$E$19:$E$168,$E43,$F$19:$F$168,"&lt;&gt;"&amp;$F43,$C$19:$C$168,"1000")+SUMIFS(K$19:K$168,$E$19:$E$168,$E43,$F$19:$F$168,"&lt;&gt;"&amp;$F43,$C$19:$C$168,"2000")+SUMIFS(K$19:K$168,$E$19:$E$168,$E43,$F$19:$F$168,"&lt;&gt;"&amp;$F43,$C$19:$C$168,"3000")+SUMIFS(K$19:K$168,$E$19:$E$168,$E43,$F$19:$F$168,"&lt;&gt;"&amp;$F43,$C$19:$C$168,"4000")+SUMIFS(K$19:K$168,$E$19:$E$168,$E43,$F$19:$F$168,"&lt;&gt;"&amp;$F43,$C$19:$C$168,"5000")</f>
        <v>2214712.0441666669</v>
      </c>
      <c r="L43" s="244">
        <f t="shared" ca="1" si="1"/>
        <v>102662790.54583332</v>
      </c>
      <c r="M43" s="461">
        <f>VLOOKUP($H43,'Cost Drivers'!$A$2:$R$66,2,FALSE)</f>
        <v>27071.666666666668</v>
      </c>
      <c r="N43" s="245">
        <f t="shared" ca="1" si="2"/>
        <v>3792.2597012559249</v>
      </c>
      <c r="O43" s="246">
        <f>SUMIFS(O$19:O$168, $E$19:$E$168,$E43,$C$19:$C$168,"1000")+SUMIFS(O$19:O$168, $E$19:$E$168,$E43,$C$19:$C$168,"2000")+SUMIFS(O$19:O$168, $E$19:$E$168,$E43,$C$19:$C$168,"3000")+SUMIFS(O$19:O$168, $E$19:$E$168,$E43,$C$19:$C$168,"4000")+SUMIFS(O$19:O$168, $E$19:$E$168,$E43,$C$19:$C$168,"5000")</f>
        <v>100634556.28512329</v>
      </c>
      <c r="P43" s="479">
        <f>VLOOKUP($H43,'Cost Drivers'!$A$2:$R$66,4,FALSE)</f>
        <v>26877</v>
      </c>
      <c r="Q43" s="248">
        <f>O43/P43</f>
        <v>3744.2629863869961</v>
      </c>
      <c r="R43" s="246">
        <f>SUMIFS(R$19:R$168, $E$19:$E$168,$E43,$C$19:$C$168,"1000")+SUMIFS(R$19:R$168, $E$19:$E$168,$E43,$C$19:$C$168,"2000")+SUMIFS(R$19:R$168, $E$19:$E$168,$E43,$C$19:$C$168,"3000")+SUMIFS(R$19:R$168, $E$19:$E$168,$E43,$C$19:$C$168,"4000")+SUMIFS(R$19:R$168, $E$19:$E$168,$E43,$C$19:$C$168,"5000")</f>
        <v>98472510.990010768</v>
      </c>
      <c r="S43" s="247">
        <f>VLOOKUP($H43,'Cost Drivers'!$A$2:$R$66,6,FALSE)</f>
        <v>26100</v>
      </c>
      <c r="T43" s="248">
        <f>R43/S43</f>
        <v>3772.8931413797227</v>
      </c>
      <c r="U43" s="246">
        <f>SUMIFS(U$19:U$168, $E$19:$E$168,$E43,$C$19:$C$168,"1000")+SUMIFS(U$19:U$168, $E$19:$E$168,$E43,$C$19:$C$168,"2000")+SUMIFS(U$19:U$168, $E$19:$E$168,$E43,$C$19:$C$168,"3000")+SUMIFS(U$19:U$168, $E$19:$E$168,$E43,$C$19:$C$168,"4000")+SUMIFS(U$19:U$168, $E$19:$E$168,$E43,$C$19:$C$168,"5000")</f>
        <v>100622463.13095404</v>
      </c>
      <c r="V43" s="247">
        <f>VLOOKUP($H43,'Cost Drivers'!$A$2:$R$66,8,FALSE)</f>
        <v>26683</v>
      </c>
      <c r="W43" s="248">
        <f>U43/V43</f>
        <v>3771.03260993719</v>
      </c>
      <c r="X43" s="246">
        <f>SUMIFS(X$19:X$168, $E$19:$E$168,$E43,$C$19:$C$168,"1000")+SUMIFS(X$19:X$168, $E$19:$E$168,$E43,$C$19:$C$168,"2000")+SUMIFS(X$19:X$168, $E$19:$E$168,$E43,$C$19:$C$168,"3000")+SUMIFS(X$19:X$168, $E$19:$E$168,$E43,$C$19:$C$168,"4000")+SUMIFS(X$19:X$168, $E$19:$E$168,$E43,$C$19:$C$168,"5000")</f>
        <v>96386579.619004205</v>
      </c>
      <c r="Y43" s="247">
        <f>VLOOKUP($H43,'Cost Drivers'!$A$2:$R$66,10,FALSE)</f>
        <v>25128</v>
      </c>
      <c r="Z43" s="248">
        <f>X43/Y43</f>
        <v>3835.8237670727558</v>
      </c>
      <c r="AA43" s="246">
        <f>SUMIFS(AA$19:AA$168, $E$19:$E$168,$E43,$C$19:$C$168,"1000")+SUMIFS(AA$19:AA$168, $E$19:$E$168,$E43,$C$19:$C$168,"2000")+SUMIFS(AA$19:AA$168, $E$19:$E$168,$E43,$C$19:$C$168,"3000")+SUMIFS(AA$19:AA$168, $E$19:$E$168,$E43,$C$19:$C$168,"4000")+SUMIFS(AA$19:AA$168, $E$19:$E$168,$E43,$C$19:$C$168,"5000")</f>
        <v>100608485.19729555</v>
      </c>
      <c r="AB43" s="247">
        <f>VLOOKUP($H43,'Cost Drivers'!$A$2:$R$66,12,FALSE)</f>
        <v>26294</v>
      </c>
      <c r="AC43" s="248">
        <f>AA43/AB43</f>
        <v>3826.2906061190974</v>
      </c>
      <c r="AD43" s="246">
        <f>SUMIFS(AD$19:AD$168, $E$19:$E$168,$E43,$C$19:$C$168,"1000")+SUMIFS(AD$19:AD$168, $E$19:$E$168,$E43,$C$19:$C$168,"2000")+SUMIFS(AD$19:AD$168, $E$19:$E$168,$E43,$C$19:$C$168,"3000")+SUMIFS(AD$19:AD$168, $E$19:$E$168,$E43,$C$19:$C$168,"4000")+SUMIFS(AD$19:AD$168, $E$19:$E$168,$E43,$C$19:$C$168,"5000")</f>
        <v>92161356.077991858</v>
      </c>
      <c r="AE43" s="247">
        <f>VLOOKUP($H43,'Cost Drivers'!$A$2:$R$66,14,FALSE)</f>
        <v>23184</v>
      </c>
      <c r="AF43" s="248">
        <f>AD43/AE43</f>
        <v>3975.2137714799801</v>
      </c>
      <c r="AG43" s="246">
        <f>SUMIFS(AG$19:AG$168, $E$19:$E$168,$E43,$C$19:$C$168,"1000")+SUMIFS(AG$19:AG$168, $E$19:$E$168,$E43,$C$19:$C$168,"2000")+SUMIFS(AG$19:AG$168, $E$19:$E$168,$E43,$C$19:$C$168,"3000")+SUMIFS(AG$19:AG$168, $E$19:$E$168,$E43,$C$19:$C$168,"4000")+SUMIFS(AG$19:AG$168, $E$19:$E$168,$E43,$C$19:$C$168,"5000")</f>
        <v>100590757.03573026</v>
      </c>
      <c r="AH43" s="247">
        <f>VLOOKUP($H43,'Cost Drivers'!$A$2:$R$66,16,FALSE)</f>
        <v>25517</v>
      </c>
      <c r="AI43" s="248">
        <f>AG43/AH43</f>
        <v>3942.1074983630624</v>
      </c>
      <c r="AJ43" s="246">
        <f>SUMIFS(AJ$19:AJ$168, $E$19:$E$168,$E43,$C$19:$C$168,"1000")+SUMIFS(AJ$19:AJ$168, $E$19:$E$168,$E43,$C$19:$C$168,"2000")+SUMIFS(AJ$19:AJ$168, $E$19:$E$168,$E43,$C$19:$C$168,"3000")+SUMIFS(AJ$19:AJ$168, $E$19:$E$168,$E43,$C$19:$C$168,"4000")+SUMIFS(AJ$19:AJ$168, $E$19:$E$168,$E43,$C$19:$C$168,"5000")</f>
        <v>83510505.134547099</v>
      </c>
      <c r="AK43" s="247">
        <f>VLOOKUP($H43,'Cost Drivers'!$A$2:$R$66,18,FALSE)</f>
        <v>19296</v>
      </c>
      <c r="AL43" s="248">
        <f>AJ43/AK43</f>
        <v>4327.8661450324989</v>
      </c>
      <c r="AM43" s="246">
        <f>SUMIFS(AM$19:AM$168, $E$19:$E$168,$E43,$C$19:$C$168,"1000")+SUMIFS(AM$19:AM$168, $E$19:$E$168,$E43,$C$19:$C$168,"2000")+SUMIFS(AM$19:AM$168, $E$19:$E$168,$E43,$C$19:$C$168,"3000")+SUMIFS(AM$19:AM$168, $E$19:$E$168,$E43,$C$19:$C$168,"4000")+SUMIFS(AM$19:AM$168, $E$19:$E$168,$E43,$C$19:$C$168,"5000")</f>
        <v>100636659.30614147</v>
      </c>
      <c r="AN43" s="247">
        <f>VLOOKUP($H43,'Cost Drivers'!$A$3:$V$67,20,FALSE)</f>
        <v>27072</v>
      </c>
      <c r="AO43" s="248">
        <f>AM43/AN43</f>
        <v>3717.3706894999063</v>
      </c>
      <c r="AP43" s="246">
        <f>SUMIFS(AP$19:AP$168, $E$19:$E$168,$E43,$C$19:$C$168,"1000")+SUMIFS(AP$19:AP$168, $E$19:$E$168,$E43,$C$19:$C$168,"2000")+SUMIFS(AP$19:AP$168, $E$19:$E$168,$E43,$C$19:$C$168,"3000")+SUMIFS(AP$19:AP$168, $E$19:$E$168,$E43,$C$19:$C$168,"4000")+SUMIFS(AP$19:AP$168, $E$19:$E$168,$E43,$C$19:$C$168,"5000")</f>
        <v>100615901.68590651</v>
      </c>
      <c r="AQ43" s="247">
        <f>VLOOKUP($H43,'Cost Drivers'!$A$3:$V$67,22,FALSE)</f>
        <v>27072</v>
      </c>
      <c r="AR43" s="248">
        <f>AP43/AQ43</f>
        <v>3716.6039334333082</v>
      </c>
    </row>
    <row r="44" spans="2:44" outlineLevel="1" x14ac:dyDescent="0.25">
      <c r="B44" s="250" t="s">
        <v>265</v>
      </c>
      <c r="C44" s="251" t="s">
        <v>238</v>
      </c>
      <c r="D44" s="182">
        <f t="shared" si="3"/>
        <v>1000</v>
      </c>
      <c r="E44" s="252" t="s">
        <v>266</v>
      </c>
      <c r="F44" s="252" t="s">
        <v>234</v>
      </c>
      <c r="G44" s="253">
        <f>SUM(G45:G48)</f>
        <v>101228885.27333333</v>
      </c>
      <c r="H44" s="181" t="s">
        <v>270</v>
      </c>
      <c r="I44" s="254">
        <f>K44/G44</f>
        <v>1.562147182493216E-2</v>
      </c>
      <c r="J44" s="255">
        <f t="shared" ref="J44" si="51">1-I44</f>
        <v>0.98437852817506788</v>
      </c>
      <c r="K44" s="256">
        <f>SUMIFS(K$19:K$168, $B$19:$B$168,$B44,$D$19:$D$168,$C44,$F$19:$F$168,"&lt;&gt;"&amp;$F44)</f>
        <v>1581344.1791666667</v>
      </c>
      <c r="L44" s="257">
        <f t="shared" si="1"/>
        <v>99647541.094166666</v>
      </c>
      <c r="M44" s="462">
        <f>VLOOKUP($H44,'Cost Drivers'!$A$2:$R$66,2,FALSE)</f>
        <v>27071.666666666668</v>
      </c>
      <c r="N44" s="258">
        <f t="shared" si="2"/>
        <v>3680.8794346179893</v>
      </c>
      <c r="O44" s="256">
        <f>SUMIFS(O$19:O$168, $E$19:$E$168,$E44,$C$19:$C$168,"1100")+SUMIFS(O$19:O$168, $E$19:$E$168,$E44,$C$19:$C$168,"1200")+SUMIFS(O$19:O$168, $E$19:$E$168,$E44,$C$19:$C$168,"1300")+SUMIFS(O$19:O$168, $E$19:$E$168,$E44,$C$19:$C$168,"1400-1800")</f>
        <v>97679490.743097201</v>
      </c>
      <c r="P44" s="480">
        <f>VLOOKUP($H44,'Cost Drivers'!$A$2:$R$66,4,FALSE)</f>
        <v>26877</v>
      </c>
      <c r="Q44" s="264">
        <f>O44/P44</f>
        <v>3634.3152413996058</v>
      </c>
      <c r="R44" s="256">
        <f>SUMIFS(R$19:R$168, $E$19:$E$168,$E44,$C$19:$C$168,"1100")+SUMIFS(R$19:R$168, $E$19:$E$168,$E44,$C$19:$C$168,"1200")+SUMIFS(R$19:R$168, $E$19:$E$168,$E44,$C$19:$C$168,"1300")+SUMIFS(R$19:R$168, $E$19:$E$168,$E44,$C$19:$C$168,"1400-1800")</f>
        <v>95595379.832114995</v>
      </c>
      <c r="S44" s="182">
        <f>VLOOKUP($H44,'Cost Drivers'!$A$2:$R$66,6,FALSE)</f>
        <v>26100</v>
      </c>
      <c r="T44" s="264">
        <f>R44/S44</f>
        <v>3662.6582311155171</v>
      </c>
      <c r="U44" s="256">
        <f>SUMIFS(U$19:U$168, $E$19:$E$168,$E44,$C$19:$C$168,"1100")+SUMIFS(U$19:U$168, $E$19:$E$168,$E44,$C$19:$C$168,"1200")+SUMIFS(U$19:U$168, $E$19:$E$168,$E44,$C$19:$C$168,"1300")+SUMIFS(U$19:U$168, $E$19:$E$168,$E44,$C$19:$C$168,"1400-1800")</f>
        <v>97679490.743097201</v>
      </c>
      <c r="V44" s="182">
        <f>VLOOKUP($H44,'Cost Drivers'!$A$2:$R$66,8,FALSE)</f>
        <v>26683</v>
      </c>
      <c r="W44" s="264">
        <f>U44/V44</f>
        <v>3660.7387004121424</v>
      </c>
      <c r="X44" s="256">
        <f>SUMIFS(X$19:X$168, $E$19:$E$168,$E44,$C$19:$C$168,"1100")+SUMIFS(X$19:X$168, $E$19:$E$168,$E44,$C$19:$C$168,"1200")+SUMIFS(X$19:X$168, $E$19:$E$168,$E44,$C$19:$C$168,"1300")+SUMIFS(X$19:X$168, $E$19:$E$168,$E44,$C$19:$C$168,"1400-1800")</f>
        <v>93531932.671990827</v>
      </c>
      <c r="Y44" s="182">
        <f>VLOOKUP($H44,'Cost Drivers'!$A$2:$R$66,10,FALSE)</f>
        <v>25128</v>
      </c>
      <c r="Z44" s="264">
        <f>X44/Y44</f>
        <v>3722.2195428203927</v>
      </c>
      <c r="AA44" s="256">
        <f>SUMIFS(AA$19:AA$168, $E$19:$E$168,$E44,$C$19:$C$168,"1100")+SUMIFS(AA$19:AA$168, $E$19:$E$168,$E44,$C$19:$C$168,"1200")+SUMIFS(AA$19:AA$168, $E$19:$E$168,$E44,$C$19:$C$168,"1300")+SUMIFS(AA$19:AA$168, $E$19:$E$168,$E44,$C$19:$C$168,"1400-1800")</f>
        <v>97679490.743097201</v>
      </c>
      <c r="AB44" s="182">
        <f>VLOOKUP($H44,'Cost Drivers'!$A$2:$R$66,12,FALSE)</f>
        <v>26294</v>
      </c>
      <c r="AC44" s="264">
        <f>AA44/AB44</f>
        <v>3714.896582608093</v>
      </c>
      <c r="AD44" s="256">
        <f>SUMIFS(AD$19:AD$168, $E$19:$E$168,$E44,$C$19:$C$168,"1100")+SUMIFS(AD$19:AD$168, $E$19:$E$168,$E44,$C$19:$C$168,"1200")+SUMIFS(AD$19:AD$168, $E$19:$E$168,$E44,$C$19:$C$168,"1300")+SUMIFS(AD$19:AD$168, $E$19:$E$168,$E44,$C$19:$C$168,"1400-1800")</f>
        <v>89487066.521877065</v>
      </c>
      <c r="AE44" s="182">
        <f>VLOOKUP($H44,'Cost Drivers'!$A$2:$R$66,14,FALSE)</f>
        <v>23184</v>
      </c>
      <c r="AF44" s="264">
        <f>AD44/AE44</f>
        <v>3859.8631177483207</v>
      </c>
      <c r="AG44" s="256">
        <f>SUMIFS(AG$19:AG$168, $E$19:$E$168,$E44,$C$19:$C$168,"1100")+SUMIFS(AG$19:AG$168, $E$19:$E$168,$E44,$C$19:$C$168,"1200")+SUMIFS(AG$19:AG$168, $E$19:$E$168,$E44,$C$19:$C$168,"1300")+SUMIFS(AG$19:AG$168, $E$19:$E$168,$E44,$C$19:$C$168,"1400-1800")</f>
        <v>97679490.743097201</v>
      </c>
      <c r="AH44" s="182">
        <f>VLOOKUP($H44,'Cost Drivers'!$A$2:$R$66,16,FALSE)</f>
        <v>25517</v>
      </c>
      <c r="AI44" s="264">
        <f>AG44/AH44</f>
        <v>3828.0162535994514</v>
      </c>
      <c r="AJ44" s="256">
        <f>SUMIFS(AJ$19:AJ$168, $E$19:$E$168,$E44,$C$19:$C$168,"1100")+SUMIFS(AJ$19:AJ$168, $E$19:$E$168,$E44,$C$19:$C$168,"1200")+SUMIFS(AJ$19:AJ$168, $E$19:$E$168,$E44,$C$19:$C$168,"1300")+SUMIFS(AJ$19:AJ$168, $E$19:$E$168,$E44,$C$19:$C$168,"1400-1800")</f>
        <v>81106628.597139493</v>
      </c>
      <c r="AK44" s="182">
        <f>VLOOKUP($H44,'Cost Drivers'!$A$2:$R$66,18,FALSE)</f>
        <v>19296</v>
      </c>
      <c r="AL44" s="264">
        <f>AJ44/AK44</f>
        <v>4203.2871370822704</v>
      </c>
      <c r="AM44" s="256">
        <f>SUMIFS(AM$19:AM$168, $E$19:$E$168,$E44,$C$19:$C$168,"1100")+SUMIFS(AM$19:AM$168, $E$19:$E$168,$E44,$C$19:$C$168,"1200")+SUMIFS(AM$19:AM$168, $E$19:$E$168,$E44,$C$19:$C$168,"1300")+SUMIFS(AM$19:AM$168, $E$19:$E$168,$E44,$C$19:$C$168,"1400-1800")</f>
        <v>97679490.743097201</v>
      </c>
      <c r="AN44" s="182">
        <f>VLOOKUP($H44,'Cost Drivers'!$A$3:$V$67,20,FALSE)</f>
        <v>27072</v>
      </c>
      <c r="AO44" s="264">
        <f>AM44/AN44</f>
        <v>3608.1372171652333</v>
      </c>
      <c r="AP44" s="256">
        <f>SUMIFS(AP$19:AP$168, $E$19:$E$168,$E44,$C$19:$C$168,"1100")+SUMIFS(AP$19:AP$168, $E$19:$E$168,$E44,$C$19:$C$168,"1200")+SUMIFS(AP$19:AP$168, $E$19:$E$168,$E44,$C$19:$C$168,"1300")+SUMIFS(AP$19:AP$168, $E$19:$E$168,$E44,$C$19:$C$168,"1400-1800")</f>
        <v>97658727.465414375</v>
      </c>
      <c r="AQ44" s="182">
        <f>VLOOKUP($H44,'Cost Drivers'!$A$3:$V$67,22,FALSE)</f>
        <v>27072</v>
      </c>
      <c r="AR44" s="264">
        <f>AP44/AQ44</f>
        <v>3607.3702521208029</v>
      </c>
    </row>
    <row r="45" spans="2:44" outlineLevel="1" x14ac:dyDescent="0.25">
      <c r="B45" s="260" t="s">
        <v>265</v>
      </c>
      <c r="C45" s="261" t="s">
        <v>239</v>
      </c>
      <c r="D45" s="182">
        <f t="shared" si="3"/>
        <v>1000</v>
      </c>
      <c r="E45" s="262" t="s">
        <v>266</v>
      </c>
      <c r="F45" s="262" t="s">
        <v>175</v>
      </c>
      <c r="G45" s="287">
        <v>88874256.883333325</v>
      </c>
      <c r="H45" s="180" t="s">
        <v>327</v>
      </c>
      <c r="I45" s="135">
        <v>0</v>
      </c>
      <c r="J45" s="255">
        <f t="shared" si="0"/>
        <v>1</v>
      </c>
      <c r="K45" s="263">
        <f>G45*I45</f>
        <v>0</v>
      </c>
      <c r="L45" s="257">
        <f t="shared" si="1"/>
        <v>88874256.883333325</v>
      </c>
      <c r="M45" s="462">
        <f>VLOOKUP($H45,'Cost Drivers'!$A$2:$R$66,2,FALSE)</f>
        <v>1275.8533333333335</v>
      </c>
      <c r="N45" s="258">
        <f t="shared" si="2"/>
        <v>69658.678283292742</v>
      </c>
      <c r="O45" s="187">
        <f>P45*Q45</f>
        <v>86934030.49754934</v>
      </c>
      <c r="P45" s="480">
        <f>VLOOKUP($H45,'Cost Drivers'!$A$2:$R$66,4,FALSE)</f>
        <v>1248</v>
      </c>
      <c r="Q45" s="264">
        <f>$N45</f>
        <v>69658.678283292742</v>
      </c>
      <c r="R45" s="187">
        <f>S45*T45</f>
        <v>85262222.218750313</v>
      </c>
      <c r="S45" s="182">
        <f>VLOOKUP($H45,'Cost Drivers'!$A$2:$R$66,6,FALSE)</f>
        <v>1224</v>
      </c>
      <c r="T45" s="264">
        <f>$N45</f>
        <v>69658.678283292742</v>
      </c>
      <c r="U45" s="187">
        <f>V45*W45</f>
        <v>86934030.49754934</v>
      </c>
      <c r="V45" s="182">
        <f>VLOOKUP($H45,'Cost Drivers'!$A$2:$R$66,8,FALSE)</f>
        <v>1248</v>
      </c>
      <c r="W45" s="264">
        <f>$N45</f>
        <v>69658.678283292742</v>
      </c>
      <c r="X45" s="187">
        <f>Y45*Z45</f>
        <v>83451096.583384708</v>
      </c>
      <c r="Y45" s="182">
        <f>VLOOKUP($H45,'Cost Drivers'!$A$2:$R$66,10,FALSE)</f>
        <v>1198</v>
      </c>
      <c r="Z45" s="264">
        <f>$N45</f>
        <v>69658.678283292742</v>
      </c>
      <c r="AA45" s="187">
        <f>AB45*AC45</f>
        <v>86934030.49754934</v>
      </c>
      <c r="AB45" s="182">
        <f>VLOOKUP($H45,'Cost Drivers'!$A$2:$R$66,12,FALSE)</f>
        <v>1248</v>
      </c>
      <c r="AC45" s="264">
        <f>$N45</f>
        <v>69658.678283292742</v>
      </c>
      <c r="AD45" s="187">
        <f>AE45*AF45</f>
        <v>79828845.312653482</v>
      </c>
      <c r="AE45" s="182">
        <f>VLOOKUP($H45,'Cost Drivers'!$A$2:$R$66,14,FALSE)</f>
        <v>1146</v>
      </c>
      <c r="AF45" s="264">
        <f>$N45</f>
        <v>69658.678283292742</v>
      </c>
      <c r="AG45" s="187">
        <f>AH45*AI45</f>
        <v>86934030.49754934</v>
      </c>
      <c r="AH45" s="182">
        <f>VLOOKUP($H45,'Cost Drivers'!$A$2:$R$66,16,FALSE)</f>
        <v>1248</v>
      </c>
      <c r="AI45" s="264">
        <f>$N45</f>
        <v>69658.678283292742</v>
      </c>
      <c r="AJ45" s="187">
        <f>AK45*AL45</f>
        <v>72375366.736341164</v>
      </c>
      <c r="AK45" s="182">
        <f>VLOOKUP($H45,'Cost Drivers'!$A$2:$R$66,18,FALSE)</f>
        <v>1039</v>
      </c>
      <c r="AL45" s="264">
        <f>$N45</f>
        <v>69658.678283292742</v>
      </c>
      <c r="AM45" s="187">
        <f>AN45*AO45</f>
        <v>86934030.49754934</v>
      </c>
      <c r="AN45" s="182">
        <f>VLOOKUP($H45,'Cost Drivers'!$A$3:$V$67,20,FALSE)</f>
        <v>1248</v>
      </c>
      <c r="AO45" s="264">
        <f>$N45</f>
        <v>69658.678283292742</v>
      </c>
      <c r="AP45" s="187">
        <f>AQ45*AR45</f>
        <v>87073347.854115933</v>
      </c>
      <c r="AQ45" s="182">
        <f>VLOOKUP($H45,'Cost Drivers'!$A$3:$V$67,22,FALSE)</f>
        <v>1250</v>
      </c>
      <c r="AR45" s="264">
        <f>$N45</f>
        <v>69658.678283292742</v>
      </c>
    </row>
    <row r="46" spans="2:44" outlineLevel="1" x14ac:dyDescent="0.25">
      <c r="B46" s="260" t="s">
        <v>265</v>
      </c>
      <c r="C46" s="261" t="s">
        <v>240</v>
      </c>
      <c r="D46" s="182">
        <f t="shared" si="3"/>
        <v>1000</v>
      </c>
      <c r="E46" s="262" t="s">
        <v>266</v>
      </c>
      <c r="F46" s="262" t="s">
        <v>193</v>
      </c>
      <c r="G46" s="287">
        <v>9191940.0316666681</v>
      </c>
      <c r="H46" s="180" t="s">
        <v>328</v>
      </c>
      <c r="I46" s="135">
        <v>0</v>
      </c>
      <c r="J46" s="255">
        <f t="shared" si="0"/>
        <v>1</v>
      </c>
      <c r="K46" s="263">
        <f>G46*I46</f>
        <v>0</v>
      </c>
      <c r="L46" s="257">
        <f t="shared" si="1"/>
        <v>9191940.0316666681</v>
      </c>
      <c r="M46" s="462">
        <f>VLOOKUP($H46,'Cost Drivers'!$A$2:$R$66,2,FALSE)</f>
        <v>112.05833333333334</v>
      </c>
      <c r="N46" s="258">
        <f t="shared" si="2"/>
        <v>82028.170134602522</v>
      </c>
      <c r="O46" s="187">
        <f>P46*Q46</f>
        <v>9187155.0550754815</v>
      </c>
      <c r="P46" s="480">
        <f>VLOOKUP($H46,'Cost Drivers'!$A$2:$R$66,4,FALSE)</f>
        <v>112</v>
      </c>
      <c r="Q46" s="264">
        <f>$N46</f>
        <v>82028.170134602522</v>
      </c>
      <c r="R46" s="187">
        <f>S46*T46</f>
        <v>8777014.2044024691</v>
      </c>
      <c r="S46" s="182">
        <f>VLOOKUP($H46,'Cost Drivers'!$A$2:$R$66,6,FALSE)</f>
        <v>107</v>
      </c>
      <c r="T46" s="264">
        <f>$N46</f>
        <v>82028.170134602522</v>
      </c>
      <c r="U46" s="187">
        <f>V46*W46</f>
        <v>9187155.0550754815</v>
      </c>
      <c r="V46" s="182">
        <f>VLOOKUP($H46,'Cost Drivers'!$A$2:$R$66,8,FALSE)</f>
        <v>112</v>
      </c>
      <c r="W46" s="264">
        <f>$N46</f>
        <v>82028.170134602522</v>
      </c>
      <c r="X46" s="187">
        <f>Y46*Z46</f>
        <v>8530929.6939986628</v>
      </c>
      <c r="Y46" s="182">
        <f>VLOOKUP($H46,'Cost Drivers'!$A$2:$R$66,10,FALSE)</f>
        <v>104</v>
      </c>
      <c r="Z46" s="264">
        <f>$N46</f>
        <v>82028.170134602522</v>
      </c>
      <c r="AA46" s="187">
        <f>AB46*AC46</f>
        <v>9187155.0550754815</v>
      </c>
      <c r="AB46" s="182">
        <f>VLOOKUP($H46,'Cost Drivers'!$A$2:$R$66,12,FALSE)</f>
        <v>112</v>
      </c>
      <c r="AC46" s="264">
        <f>$N46</f>
        <v>82028.170134602522</v>
      </c>
      <c r="AD46" s="187">
        <f>AE46*AF46</f>
        <v>8120788.8433256494</v>
      </c>
      <c r="AE46" s="182">
        <f>VLOOKUP($H46,'Cost Drivers'!$A$2:$R$66,14,FALSE)</f>
        <v>99</v>
      </c>
      <c r="AF46" s="264">
        <f>$N46</f>
        <v>82028.170134602522</v>
      </c>
      <c r="AG46" s="187">
        <f>AH46*AI46</f>
        <v>9187155.0550754815</v>
      </c>
      <c r="AH46" s="182">
        <f>VLOOKUP($H46,'Cost Drivers'!$A$2:$R$66,16,FALSE)</f>
        <v>112</v>
      </c>
      <c r="AI46" s="264">
        <f>$N46</f>
        <v>82028.170134602522</v>
      </c>
      <c r="AJ46" s="187">
        <f>AK46*AL46</f>
        <v>7218478.9718450215</v>
      </c>
      <c r="AK46" s="182">
        <f>VLOOKUP($H46,'Cost Drivers'!$A$2:$R$66,18,FALSE)</f>
        <v>88</v>
      </c>
      <c r="AL46" s="264">
        <f>$N46</f>
        <v>82028.170134602522</v>
      </c>
      <c r="AM46" s="187">
        <f>AN46*AO46</f>
        <v>9187155.0550754815</v>
      </c>
      <c r="AN46" s="182">
        <f>VLOOKUP($H46,'Cost Drivers'!$A$3:$V$67,20,FALSE)</f>
        <v>112</v>
      </c>
      <c r="AO46" s="264">
        <f>$N46</f>
        <v>82028.170134602522</v>
      </c>
      <c r="AP46" s="187">
        <f>AQ46*AR46</f>
        <v>9023098.7148062773</v>
      </c>
      <c r="AQ46" s="182">
        <f>VLOOKUP($H46,'Cost Drivers'!$A$3:$V$67,22,FALSE)</f>
        <v>110</v>
      </c>
      <c r="AR46" s="264">
        <f>$N46</f>
        <v>82028.170134602522</v>
      </c>
    </row>
    <row r="47" spans="2:44" outlineLevel="1" x14ac:dyDescent="0.25">
      <c r="B47" s="260" t="s">
        <v>265</v>
      </c>
      <c r="C47" s="261" t="s">
        <v>241</v>
      </c>
      <c r="D47" s="182">
        <f t="shared" si="3"/>
        <v>1000</v>
      </c>
      <c r="E47" s="262" t="s">
        <v>266</v>
      </c>
      <c r="F47" s="262" t="s">
        <v>197</v>
      </c>
      <c r="G47" s="287">
        <v>539955.14166666672</v>
      </c>
      <c r="H47" s="180" t="s">
        <v>536</v>
      </c>
      <c r="I47" s="135">
        <v>0.5</v>
      </c>
      <c r="J47" s="255">
        <f t="shared" si="0"/>
        <v>0.5</v>
      </c>
      <c r="K47" s="263">
        <f>G47*I47</f>
        <v>269977.57083333336</v>
      </c>
      <c r="L47" s="257">
        <f t="shared" si="1"/>
        <v>269977.57083333336</v>
      </c>
      <c r="M47" s="462">
        <f>VLOOKUP($H47,'Cost Drivers'!$A$2:$R$66,2,FALSE)</f>
        <v>8137.833333333333</v>
      </c>
      <c r="N47" s="258">
        <f t="shared" si="2"/>
        <v>33.175608270014543</v>
      </c>
      <c r="O47" s="187">
        <f>P47*Q47</f>
        <v>262048.6004567999</v>
      </c>
      <c r="P47" s="480">
        <f>VLOOKUP($H47,'Cost Drivers'!$A$2:$R$66,4,FALSE)</f>
        <v>7898.8333333333339</v>
      </c>
      <c r="Q47" s="264">
        <f>$N47</f>
        <v>33.175608270014543</v>
      </c>
      <c r="R47" s="187">
        <f>S47*T47</f>
        <v>246892.87674544821</v>
      </c>
      <c r="S47" s="182">
        <f>VLOOKUP($H47,'Cost Drivers'!$A$2:$R$66,6,FALSE)</f>
        <v>7442</v>
      </c>
      <c r="T47" s="264">
        <f>$N47</f>
        <v>33.175608270014543</v>
      </c>
      <c r="U47" s="187">
        <f>V47*W47</f>
        <v>262048.6004567999</v>
      </c>
      <c r="V47" s="182">
        <f>VLOOKUP($H47,'Cost Drivers'!$A$2:$R$66,8,FALSE)</f>
        <v>7898.8333333333339</v>
      </c>
      <c r="W47" s="264">
        <f>$N47</f>
        <v>33.175608270014543</v>
      </c>
      <c r="X47" s="187">
        <f>Y47*Z47</f>
        <v>240655.86239068551</v>
      </c>
      <c r="Y47" s="182">
        <f>VLOOKUP($H47,'Cost Drivers'!$A$2:$R$66,10,FALSE)</f>
        <v>7254</v>
      </c>
      <c r="Z47" s="264">
        <f>$N47</f>
        <v>33.175608270014543</v>
      </c>
      <c r="AA47" s="187">
        <f>AB47*AC47</f>
        <v>262048.6004567999</v>
      </c>
      <c r="AB47" s="182">
        <f>VLOOKUP($H47,'Cost Drivers'!$A$2:$R$66,12,FALSE)</f>
        <v>7898.8333333333339</v>
      </c>
      <c r="AC47" s="264">
        <f>$N47</f>
        <v>33.175608270014543</v>
      </c>
      <c r="AD47" s="187">
        <f>AE47*AF47</f>
        <v>228181.83368116003</v>
      </c>
      <c r="AE47" s="182">
        <f>VLOOKUP($H47,'Cost Drivers'!$A$2:$R$66,14,FALSE)</f>
        <v>6878</v>
      </c>
      <c r="AF47" s="264">
        <f>$N47</f>
        <v>33.175608270014543</v>
      </c>
      <c r="AG47" s="187">
        <f>AH47*AI47</f>
        <v>262048.6004567999</v>
      </c>
      <c r="AH47" s="182">
        <f>VLOOKUP($H47,'Cost Drivers'!$A$2:$R$66,16,FALSE)</f>
        <v>7898.8333333333339</v>
      </c>
      <c r="AI47" s="264">
        <f>$N47</f>
        <v>33.175608270014543</v>
      </c>
      <c r="AJ47" s="187">
        <f>AK47*AL47</f>
        <v>203532.35673653922</v>
      </c>
      <c r="AK47" s="182">
        <f>VLOOKUP($H47,'Cost Drivers'!$A$2:$R$66,18,FALSE)</f>
        <v>6135</v>
      </c>
      <c r="AL47" s="264">
        <f>$N47</f>
        <v>33.175608270014543</v>
      </c>
      <c r="AM47" s="187">
        <f>AN47*AO47</f>
        <v>262048.6004567999</v>
      </c>
      <c r="AN47" s="182">
        <f>VLOOKUP($H47,'Cost Drivers'!$A$3:$V$67,20,FALSE)</f>
        <v>7898.8333333333339</v>
      </c>
      <c r="AO47" s="264">
        <f>$N47</f>
        <v>33.175608270014543</v>
      </c>
      <c r="AP47" s="187">
        <f>AQ47*AR47</f>
        <v>253030.36427540091</v>
      </c>
      <c r="AQ47" s="182">
        <f>VLOOKUP($H47,'Cost Drivers'!$A$3:$V$67,22,FALSE)</f>
        <v>7627</v>
      </c>
      <c r="AR47" s="264">
        <f>$N47</f>
        <v>33.175608270014543</v>
      </c>
    </row>
    <row r="48" spans="2:44" outlineLevel="1" x14ac:dyDescent="0.25">
      <c r="B48" s="260" t="s">
        <v>265</v>
      </c>
      <c r="C48" s="261" t="s">
        <v>232</v>
      </c>
      <c r="D48" s="182">
        <f t="shared" si="3"/>
        <v>1000</v>
      </c>
      <c r="E48" s="262" t="s">
        <v>266</v>
      </c>
      <c r="F48" s="262" t="s">
        <v>233</v>
      </c>
      <c r="G48" s="287">
        <v>2622733.2166666668</v>
      </c>
      <c r="H48" s="180" t="s">
        <v>531</v>
      </c>
      <c r="I48" s="135">
        <v>0.5</v>
      </c>
      <c r="J48" s="255">
        <f t="shared" si="0"/>
        <v>0.5</v>
      </c>
      <c r="K48" s="263">
        <f>G48*I48</f>
        <v>1311366.6083333334</v>
      </c>
      <c r="L48" s="257">
        <f t="shared" si="1"/>
        <v>1311366.6083333334</v>
      </c>
      <c r="M48" s="462">
        <f>VLOOKUP($H48,'Cost Drivers'!$A$2:$R$66,2,FALSE)</f>
        <v>38938.833333333328</v>
      </c>
      <c r="N48" s="258">
        <f t="shared" si="2"/>
        <v>33.677603977177888</v>
      </c>
      <c r="O48" s="187">
        <f>P48*Q48</f>
        <v>1296256.5900155732</v>
      </c>
      <c r="P48" s="480">
        <f>VLOOKUP($H48,'Cost Drivers'!$A$2:$R$66,4,FALSE)</f>
        <v>38490.166666666672</v>
      </c>
      <c r="Q48" s="264">
        <f>$N48</f>
        <v>33.677603977177888</v>
      </c>
      <c r="R48" s="187">
        <f>S48*T48</f>
        <v>1309250.5322167675</v>
      </c>
      <c r="S48" s="182">
        <f>VLOOKUP($H48,'Cost Drivers'!$A$2:$R$66,6,FALSE)</f>
        <v>38876</v>
      </c>
      <c r="T48" s="264">
        <f>$N48</f>
        <v>33.677603977177888</v>
      </c>
      <c r="U48" s="187">
        <f>V48*W48</f>
        <v>1296256.5900155732</v>
      </c>
      <c r="V48" s="182">
        <f>VLOOKUP($H48,'Cost Drivers'!$A$2:$R$66,8,FALSE)</f>
        <v>38490.166666666672</v>
      </c>
      <c r="W48" s="264">
        <f>$N48</f>
        <v>33.677603977177888</v>
      </c>
      <c r="X48" s="187">
        <f>Y48*Z48</f>
        <v>1309250.5322167675</v>
      </c>
      <c r="Y48" s="182">
        <f>VLOOKUP($H48,'Cost Drivers'!$A$2:$R$66,10,FALSE)</f>
        <v>38876</v>
      </c>
      <c r="Z48" s="264">
        <f>$N48</f>
        <v>33.677603977177888</v>
      </c>
      <c r="AA48" s="187">
        <f>AB48*AC48</f>
        <v>1296256.5900155732</v>
      </c>
      <c r="AB48" s="182">
        <f>VLOOKUP($H48,'Cost Drivers'!$A$2:$R$66,12,FALSE)</f>
        <v>38490.166666666672</v>
      </c>
      <c r="AC48" s="264">
        <f>$N48</f>
        <v>33.677603977177888</v>
      </c>
      <c r="AD48" s="187">
        <f>AE48*AF48</f>
        <v>1309250.5322167675</v>
      </c>
      <c r="AE48" s="182">
        <f>VLOOKUP($H48,'Cost Drivers'!$A$2:$R$66,14,FALSE)</f>
        <v>38876</v>
      </c>
      <c r="AF48" s="264">
        <f>$N48</f>
        <v>33.677603977177888</v>
      </c>
      <c r="AG48" s="187">
        <f>AH48*AI48</f>
        <v>1296256.5900155732</v>
      </c>
      <c r="AH48" s="182">
        <f>VLOOKUP($H48,'Cost Drivers'!$A$2:$R$66,16,FALSE)</f>
        <v>38490.166666666672</v>
      </c>
      <c r="AI48" s="264">
        <f>$N48</f>
        <v>33.677603977177888</v>
      </c>
      <c r="AJ48" s="187">
        <f>AK48*AL48</f>
        <v>1309250.5322167675</v>
      </c>
      <c r="AK48" s="182">
        <f>VLOOKUP($H48,'Cost Drivers'!$A$2:$R$66,18,FALSE)</f>
        <v>38876</v>
      </c>
      <c r="AL48" s="264">
        <f>$N48</f>
        <v>33.677603977177888</v>
      </c>
      <c r="AM48" s="187">
        <f>AN48*AO48</f>
        <v>1296256.5900155732</v>
      </c>
      <c r="AN48" s="182">
        <f>VLOOKUP($H48,'Cost Drivers'!$A$3:$V$67,20,FALSE)</f>
        <v>38490.166666666672</v>
      </c>
      <c r="AO48" s="264">
        <f>$N48</f>
        <v>33.677603977177888</v>
      </c>
      <c r="AP48" s="187">
        <f>AQ48*AR48</f>
        <v>1309250.5322167675</v>
      </c>
      <c r="AQ48" s="182">
        <f>VLOOKUP($H48,'Cost Drivers'!$A$3:$V$67,22,FALSE)</f>
        <v>38876</v>
      </c>
      <c r="AR48" s="264">
        <f>$N48</f>
        <v>33.677603977177888</v>
      </c>
    </row>
    <row r="49" spans="2:44" outlineLevel="1" x14ac:dyDescent="0.25">
      <c r="B49" s="250" t="s">
        <v>265</v>
      </c>
      <c r="C49" s="251" t="s">
        <v>242</v>
      </c>
      <c r="D49" s="182">
        <f t="shared" si="3"/>
        <v>2000</v>
      </c>
      <c r="E49" s="252" t="s">
        <v>266</v>
      </c>
      <c r="F49" s="252" t="s">
        <v>237</v>
      </c>
      <c r="G49" s="253">
        <f ca="1">SUMIF(E50:G58, E50, G50:G58)</f>
        <v>3266699.55</v>
      </c>
      <c r="H49" s="181" t="s">
        <v>270</v>
      </c>
      <c r="I49" s="254">
        <f ca="1">K49/G49</f>
        <v>0.10159912063742338</v>
      </c>
      <c r="J49" s="255">
        <f t="shared" ref="J49" ca="1" si="52">1-I49</f>
        <v>0.89840087936257662</v>
      </c>
      <c r="K49" s="256">
        <f>SUMIFS(K$19:K$168, $B$19:$B$168,$B49,$D$19:$D$168,$C49,$F$19:$F$168,"&lt;&gt;"&amp;$F49)</f>
        <v>331893.80166666664</v>
      </c>
      <c r="L49" s="257">
        <f t="shared" ca="1" si="1"/>
        <v>2934805.7483333331</v>
      </c>
      <c r="M49" s="462">
        <f>VLOOKUP($H49,'Cost Drivers'!$A$2:$R$66,2,FALSE)</f>
        <v>27071.666666666668</v>
      </c>
      <c r="N49" s="258">
        <f t="shared" ca="1" si="2"/>
        <v>108.40875755710151</v>
      </c>
      <c r="O49" s="256">
        <f>SUMIFS(O$19:O$168, $E$19:$E$168,$E49,$C$19:$C$168,"2100")+SUMIFS(O$19:O$168, $E$19:$E$168,$E49,$C$19:$C$168,"2200")+SUMIFS(O$19:O$168, $E$19:$E$168,$E49,$C$19:$C$168,"2300")+SUMIFS(O$19:O$168, $E$19:$E$168,$E49,$C$19:$C$168,"2400")+SUMIFS(O$19:O$168, $E$19:$E$168,$E49,$C$19:$C$168,"2500")+SUMIFS(O$19:O$168, $E$19:$E$168,$E49,$C$19:$C$168,"2600")+SUMIFS(O$19:O$168, $E$19:$E$168,$E49,$C$19:$C$168,"2700")+SUMIFS(O$19:O$168, $E$19:$E$168,$E49,$C$19:$C$168,"2800")+SUMIFS(O$19:O$168, $E$19:$E$168,$E49,$C$19:$C$168,"2900")</f>
        <v>2876582.18408293</v>
      </c>
      <c r="P49" s="480">
        <f>VLOOKUP($H49,'Cost Drivers'!$A$2:$R$66,4,FALSE)</f>
        <v>26877</v>
      </c>
      <c r="Q49" s="264">
        <f>O49/P49</f>
        <v>107.02765130345388</v>
      </c>
      <c r="R49" s="256">
        <f>SUMIFS(R$19:R$168, $E$19:$E$168,$E49,$C$19:$C$168,"2100")+SUMIFS(R$19:R$168, $E$19:$E$168,$E49,$C$19:$C$168,"2200")+SUMIFS(R$19:R$168, $E$19:$E$168,$E49,$C$19:$C$168,"2300")+SUMIFS(R$19:R$168, $E$19:$E$168,$E49,$C$19:$C$168,"2400")+SUMIFS(R$19:R$168, $E$19:$E$168,$E49,$C$19:$C$168,"2500")+SUMIFS(R$19:R$168, $E$19:$E$168,$E49,$C$19:$C$168,"2600")+SUMIFS(R$19:R$168, $E$19:$E$168,$E49,$C$19:$C$168,"2700")+SUMIFS(R$19:R$168, $E$19:$E$168,$E49,$C$19:$C$168,"2800")+SUMIFS(R$19:R$168, $E$19:$E$168,$E49,$C$19:$C$168,"2900")</f>
        <v>2800419.4778931425</v>
      </c>
      <c r="S49" s="182">
        <f>VLOOKUP($H49,'Cost Drivers'!$A$2:$R$66,6,FALSE)</f>
        <v>26100</v>
      </c>
      <c r="T49" s="264">
        <f>R49/S49</f>
        <v>107.29576543651886</v>
      </c>
      <c r="U49" s="256">
        <f>SUMIFS(U$19:U$168, $E$19:$E$168,$E49,$C$19:$C$168,"2100")+SUMIFS(U$19:U$168, $E$19:$E$168,$E49,$C$19:$C$168,"2200")+SUMIFS(U$19:U$168, $E$19:$E$168,$E49,$C$19:$C$168,"2300")+SUMIFS(U$19:U$168, $E$19:$E$168,$E49,$C$19:$C$168,"2400")+SUMIFS(U$19:U$168, $E$19:$E$168,$E49,$C$19:$C$168,"2500")+SUMIFS(U$19:U$168, $E$19:$E$168,$E49,$C$19:$C$168,"2600")+SUMIFS(U$19:U$168, $E$19:$E$168,$E49,$C$19:$C$168,"2700")+SUMIFS(U$19:U$168, $E$19:$E$168,$E49,$C$19:$C$168,"2800")+SUMIFS(U$19:U$168, $E$19:$E$168,$E49,$C$19:$C$168,"2900")</f>
        <v>2864489.0299136746</v>
      </c>
      <c r="V49" s="182">
        <f>VLOOKUP($H49,'Cost Drivers'!$A$2:$R$66,8,FALSE)</f>
        <v>26683</v>
      </c>
      <c r="W49" s="264">
        <f>U49/V49</f>
        <v>107.35258516335024</v>
      </c>
      <c r="X49" s="256">
        <f>SUMIFS(X$19:X$168, $E$19:$E$168,$E49,$C$19:$C$168,"2100")+SUMIFS(X$19:X$168, $E$19:$E$168,$E49,$C$19:$C$168,"2200")+SUMIFS(X$19:X$168, $E$19:$E$168,$E49,$C$19:$C$168,"2300")+SUMIFS(X$19:X$168, $E$19:$E$168,$E49,$C$19:$C$168,"2400")+SUMIFS(X$19:X$168, $E$19:$E$168,$E49,$C$19:$C$168,"2500")+SUMIFS(X$19:X$168, $E$19:$E$168,$E49,$C$19:$C$168,"2600")+SUMIFS(X$19:X$168, $E$19:$E$168,$E49,$C$19:$C$168,"2700")+SUMIFS(X$19:X$168, $E$19:$E$168,$E49,$C$19:$C$168,"2800")+SUMIFS(X$19:X$168, $E$19:$E$168,$E49,$C$19:$C$168,"2900")</f>
        <v>2779648.3472750871</v>
      </c>
      <c r="Y49" s="182">
        <f>VLOOKUP($H49,'Cost Drivers'!$A$2:$R$66,10,FALSE)</f>
        <v>25128</v>
      </c>
      <c r="Z49" s="264">
        <f>X49/Y49</f>
        <v>110.61956173492069</v>
      </c>
      <c r="AA49" s="256">
        <f>SUMIFS(AA$19:AA$168, $E$19:$E$168,$E49,$C$19:$C$168,"2100")+SUMIFS(AA$19:AA$168, $E$19:$E$168,$E49,$C$19:$C$168,"2200")+SUMIFS(AA$19:AA$168, $E$19:$E$168,$E49,$C$19:$C$168,"2300")+SUMIFS(AA$19:AA$168, $E$19:$E$168,$E49,$C$19:$C$168,"2400")+SUMIFS(AA$19:AA$168, $E$19:$E$168,$E49,$C$19:$C$168,"2500")+SUMIFS(AA$19:AA$168, $E$19:$E$168,$E49,$C$19:$C$168,"2600")+SUMIFS(AA$19:AA$168, $E$19:$E$168,$E49,$C$19:$C$168,"2700")+SUMIFS(AA$19:AA$168, $E$19:$E$168,$E49,$C$19:$C$168,"2800")+SUMIFS(AA$19:AA$168, $E$19:$E$168,$E49,$C$19:$C$168,"2900")</f>
        <v>2850511.0962551809</v>
      </c>
      <c r="AB49" s="182">
        <f>VLOOKUP($H49,'Cost Drivers'!$A$2:$R$66,12,FALSE)</f>
        <v>26294</v>
      </c>
      <c r="AC49" s="264">
        <f>AA49/AB49</f>
        <v>108.40918446243177</v>
      </c>
      <c r="AD49" s="256">
        <f>SUMIFS(AD$19:AD$168, $E$19:$E$168,$E49,$C$19:$C$168,"2100")+SUMIFS(AD$19:AD$168, $E$19:$E$168,$E49,$C$19:$C$168,"2200")+SUMIFS(AD$19:AD$168, $E$19:$E$168,$E49,$C$19:$C$168,"2300")+SUMIFS(AD$19:AD$168, $E$19:$E$168,$E49,$C$19:$C$168,"2400")+SUMIFS(AD$19:AD$168, $E$19:$E$168,$E49,$C$19:$C$168,"2500")+SUMIFS(AD$19:AD$168, $E$19:$E$168,$E49,$C$19:$C$168,"2600")+SUMIFS(AD$19:AD$168, $E$19:$E$168,$E49,$C$19:$C$168,"2700")+SUMIFS(AD$19:AD$168, $E$19:$E$168,$E49,$C$19:$C$168,"2800")+SUMIFS(AD$19:AD$168, $E$19:$E$168,$E49,$C$19:$C$168,"2900")</f>
        <v>2602717.1169052045</v>
      </c>
      <c r="AE49" s="182">
        <f>VLOOKUP($H49,'Cost Drivers'!$A$2:$R$66,14,FALSE)</f>
        <v>23184</v>
      </c>
      <c r="AF49" s="264">
        <f>AD49/AE49</f>
        <v>112.26350573262614</v>
      </c>
      <c r="AG49" s="256">
        <f>SUMIFS(AG$19:AG$168, $E$19:$E$168,$E49,$C$19:$C$168,"2100")+SUMIFS(AG$19:AG$168, $E$19:$E$168,$E49,$C$19:$C$168,"2200")+SUMIFS(AG$19:AG$168, $E$19:$E$168,$E49,$C$19:$C$168,"2300")+SUMIFS(AG$19:AG$168, $E$19:$E$168,$E49,$C$19:$C$168,"2400")+SUMIFS(AG$19:AG$168, $E$19:$E$168,$E49,$C$19:$C$168,"2500")+SUMIFS(AG$19:AG$168, $E$19:$E$168,$E49,$C$19:$C$168,"2600")+SUMIFS(AG$19:AG$168, $E$19:$E$168,$E49,$C$19:$C$168,"2700")+SUMIFS(AG$19:AG$168, $E$19:$E$168,$E49,$C$19:$C$168,"2800")+SUMIFS(AG$19:AG$168, $E$19:$E$168,$E49,$C$19:$C$168,"2900")</f>
        <v>2832782.934689898</v>
      </c>
      <c r="AH49" s="182">
        <f>VLOOKUP($H49,'Cost Drivers'!$A$2:$R$66,16,FALSE)</f>
        <v>25517</v>
      </c>
      <c r="AI49" s="264">
        <f>AG49/AH49</f>
        <v>111.01551650624674</v>
      </c>
      <c r="AJ49" s="256">
        <f>SUMIFS(AJ$19:AJ$168, $E$19:$E$168,$E49,$C$19:$C$168,"2100")+SUMIFS(AJ$19:AJ$168, $E$19:$E$168,$E49,$C$19:$C$168,"2200")+SUMIFS(AJ$19:AJ$168, $E$19:$E$168,$E49,$C$19:$C$168,"2300")+SUMIFS(AJ$19:AJ$168, $E$19:$E$168,$E49,$C$19:$C$168,"2400")+SUMIFS(AJ$19:AJ$168, $E$19:$E$168,$E49,$C$19:$C$168,"2500")+SUMIFS(AJ$19:AJ$168, $E$19:$E$168,$E49,$C$19:$C$168,"2600")+SUMIFS(AJ$19:AJ$168, $E$19:$E$168,$E49,$C$19:$C$168,"2700")+SUMIFS(AJ$19:AJ$168, $E$19:$E$168,$E49,$C$19:$C$168,"2800")+SUMIFS(AJ$19:AJ$168, $E$19:$E$168,$E49,$C$19:$C$168,"2900")</f>
        <v>2339149.859173656</v>
      </c>
      <c r="AK49" s="182">
        <f>VLOOKUP($H49,'Cost Drivers'!$A$2:$R$66,18,FALSE)</f>
        <v>19296</v>
      </c>
      <c r="AL49" s="264">
        <f>AJ49/AK49</f>
        <v>121.22459883777239</v>
      </c>
      <c r="AM49" s="256">
        <f>SUMIFS(AM$19:AM$168, $E$19:$E$168,$E49,$C$19:$C$168,"2100")+SUMIFS(AM$19:AM$168, $E$19:$E$168,$E49,$C$19:$C$168,"2200")+SUMIFS(AM$19:AM$168, $E$19:$E$168,$E49,$C$19:$C$168,"2300")+SUMIFS(AM$19:AM$168, $E$19:$E$168,$E49,$C$19:$C$168,"2400")+SUMIFS(AM$19:AM$168, $E$19:$E$168,$E49,$C$19:$C$168,"2500")+SUMIFS(AM$19:AM$168, $E$19:$E$168,$E49,$C$19:$C$168,"2600")+SUMIFS(AM$19:AM$168, $E$19:$E$168,$E49,$C$19:$C$168,"2700")+SUMIFS(AM$19:AM$168, $E$19:$E$168,$E49,$C$19:$C$168,"2800")+SUMIFS(AM$19:AM$168, $E$19:$E$168,$E49,$C$19:$C$168,"2900")</f>
        <v>2878685.2051010993</v>
      </c>
      <c r="AN49" s="182">
        <f>VLOOKUP($H49,'Cost Drivers'!$A$3:$V$67,20,FALSE)</f>
        <v>27072</v>
      </c>
      <c r="AO49" s="264">
        <f>AM49/AN49</f>
        <v>106.33441212696141</v>
      </c>
      <c r="AP49" s="256">
        <f>SUMIFS(AP$19:AP$168, $E$19:$E$168,$E49,$C$19:$C$168,"2100")+SUMIFS(AP$19:AP$168, $E$19:$E$168,$E49,$C$19:$C$168,"2200")+SUMIFS(AP$19:AP$168, $E$19:$E$168,$E49,$C$19:$C$168,"2300")+SUMIFS(AP$19:AP$168, $E$19:$E$168,$E49,$C$19:$C$168,"2400")+SUMIFS(AP$19:AP$168, $E$19:$E$168,$E49,$C$19:$C$168,"2500")+SUMIFS(AP$19:AP$168, $E$19:$E$168,$E49,$C$19:$C$168,"2600")+SUMIFS(AP$19:AP$168, $E$19:$E$168,$E49,$C$19:$C$168,"2700")+SUMIFS(AP$19:AP$168, $E$19:$E$168,$E49,$C$19:$C$168,"2800")+SUMIFS(AP$19:AP$168, $E$19:$E$168,$E49,$C$19:$C$168,"2900")</f>
        <v>2878749.9070322979</v>
      </c>
      <c r="AQ49" s="182">
        <f>VLOOKUP($H49,'Cost Drivers'!$A$3:$V$67,22,FALSE)</f>
        <v>27072</v>
      </c>
      <c r="AR49" s="264">
        <f>AP49/AQ49</f>
        <v>106.3368021214649</v>
      </c>
    </row>
    <row r="50" spans="2:44" outlineLevel="1" x14ac:dyDescent="0.25">
      <c r="B50" s="260" t="s">
        <v>265</v>
      </c>
      <c r="C50" s="261" t="s">
        <v>243</v>
      </c>
      <c r="D50" s="182">
        <f t="shared" si="3"/>
        <v>2000</v>
      </c>
      <c r="E50" s="262" t="s">
        <v>266</v>
      </c>
      <c r="F50" s="262" t="s">
        <v>198</v>
      </c>
      <c r="G50" s="287">
        <v>1559152.3499999999</v>
      </c>
      <c r="H50" s="180" t="s">
        <v>516</v>
      </c>
      <c r="I50" s="150">
        <v>0.1</v>
      </c>
      <c r="J50" s="255">
        <f t="shared" si="0"/>
        <v>0.9</v>
      </c>
      <c r="K50" s="263">
        <f t="shared" ref="K50:K58" si="53">G50*I50</f>
        <v>155915.23499999999</v>
      </c>
      <c r="L50" s="257">
        <f t="shared" si="1"/>
        <v>1403237.115</v>
      </c>
      <c r="M50" s="462">
        <f>VLOOKUP($H50,'Cost Drivers'!$A$2:$R$66,2,FALSE)</f>
        <v>29.416666666666668</v>
      </c>
      <c r="N50" s="258">
        <f t="shared" si="2"/>
        <v>47702.111558073651</v>
      </c>
      <c r="O50" s="187">
        <f t="shared" ref="O50:O58" si="54">P50*Q50</f>
        <v>1383361.2351841358</v>
      </c>
      <c r="P50" s="480">
        <f>VLOOKUP($H50,'Cost Drivers'!$A$2:$R$66,4,FALSE)</f>
        <v>29</v>
      </c>
      <c r="Q50" s="264">
        <f>$N50</f>
        <v>47702.111558073651</v>
      </c>
      <c r="R50" s="187">
        <f t="shared" ref="R50:R58" si="55">S50*T50</f>
        <v>1335659.1236260622</v>
      </c>
      <c r="S50" s="182">
        <f>VLOOKUP($H50,'Cost Drivers'!$A$2:$R$66,6,FALSE)</f>
        <v>28</v>
      </c>
      <c r="T50" s="264">
        <f>$N50</f>
        <v>47702.111558073651</v>
      </c>
      <c r="U50" s="187">
        <f t="shared" ref="U50:U58" si="56">V50*W50</f>
        <v>1383361.2351841358</v>
      </c>
      <c r="V50" s="182">
        <f>VLOOKUP($H50,'Cost Drivers'!$A$2:$R$66,8,FALSE)</f>
        <v>29</v>
      </c>
      <c r="W50" s="264">
        <f>$N50</f>
        <v>47702.111558073651</v>
      </c>
      <c r="X50" s="187">
        <f t="shared" ref="X50:X58" si="57">Y50*Z50</f>
        <v>1335659.1236260622</v>
      </c>
      <c r="Y50" s="182">
        <f>VLOOKUP($H50,'Cost Drivers'!$A$2:$R$66,10,FALSE)</f>
        <v>28</v>
      </c>
      <c r="Z50" s="264">
        <f>$N50</f>
        <v>47702.111558073651</v>
      </c>
      <c r="AA50" s="187">
        <f t="shared" ref="AA50:AA58" si="58">AB50*AC50</f>
        <v>1383361.2351841358</v>
      </c>
      <c r="AB50" s="182">
        <f>VLOOKUP($H50,'Cost Drivers'!$A$2:$R$66,12,FALSE)</f>
        <v>29</v>
      </c>
      <c r="AC50" s="264">
        <f>$N50</f>
        <v>47702.111558073651</v>
      </c>
      <c r="AD50" s="187">
        <f t="shared" ref="AD50:AD58" si="59">AE50*AF50</f>
        <v>1240254.9005099148</v>
      </c>
      <c r="AE50" s="182">
        <f>VLOOKUP($H50,'Cost Drivers'!$A$2:$R$66,14,FALSE)</f>
        <v>26</v>
      </c>
      <c r="AF50" s="264">
        <f>$N50</f>
        <v>47702.111558073651</v>
      </c>
      <c r="AG50" s="187">
        <f t="shared" ref="AG50:AG58" si="60">AH50*AI50</f>
        <v>1383361.2351841358</v>
      </c>
      <c r="AH50" s="182">
        <f>VLOOKUP($H50,'Cost Drivers'!$A$2:$R$66,16,FALSE)</f>
        <v>29</v>
      </c>
      <c r="AI50" s="264">
        <f>$N50</f>
        <v>47702.111558073651</v>
      </c>
      <c r="AJ50" s="187">
        <f t="shared" ref="AJ50:AJ58" si="61">AK50*AL50</f>
        <v>1144850.6773937675</v>
      </c>
      <c r="AK50" s="182">
        <f>VLOOKUP($H50,'Cost Drivers'!$A$2:$R$66,18,FALSE)</f>
        <v>24</v>
      </c>
      <c r="AL50" s="264">
        <f>$N50</f>
        <v>47702.111558073651</v>
      </c>
      <c r="AM50" s="187">
        <f t="shared" ref="AM50:AM58" si="62">AN50*AO50</f>
        <v>1383361.2351841358</v>
      </c>
      <c r="AN50" s="182">
        <f>VLOOKUP($H50,'Cost Drivers'!$A$3:$V$67,20,FALSE)</f>
        <v>29</v>
      </c>
      <c r="AO50" s="264">
        <f>$N50</f>
        <v>47702.111558073651</v>
      </c>
      <c r="AP50" s="187">
        <f t="shared" ref="AP50:AP58" si="63">AQ50*AR50</f>
        <v>1383361.2351841358</v>
      </c>
      <c r="AQ50" s="182">
        <f>VLOOKUP($H50,'Cost Drivers'!$A$3:$V$67,22,FALSE)</f>
        <v>29</v>
      </c>
      <c r="AR50" s="264">
        <f>$N50</f>
        <v>47702.111558073651</v>
      </c>
    </row>
    <row r="51" spans="2:44" outlineLevel="1" x14ac:dyDescent="0.25">
      <c r="B51" s="260" t="s">
        <v>265</v>
      </c>
      <c r="C51" s="261" t="s">
        <v>244</v>
      </c>
      <c r="D51" s="182">
        <f t="shared" si="3"/>
        <v>2000</v>
      </c>
      <c r="E51" s="262" t="s">
        <v>266</v>
      </c>
      <c r="F51" s="262" t="s">
        <v>199</v>
      </c>
      <c r="G51" s="287">
        <v>986677.86833333317</v>
      </c>
      <c r="H51" s="180" t="s">
        <v>514</v>
      </c>
      <c r="I51" s="150">
        <v>0.1</v>
      </c>
      <c r="J51" s="255">
        <f t="shared" si="0"/>
        <v>0.9</v>
      </c>
      <c r="K51" s="263">
        <f t="shared" si="53"/>
        <v>98667.786833333317</v>
      </c>
      <c r="L51" s="257">
        <f t="shared" si="1"/>
        <v>888010.08149999985</v>
      </c>
      <c r="M51" s="462">
        <f>VLOOKUP($H51,'Cost Drivers'!$A$2:$R$66,2,FALSE)</f>
        <v>21.891666666666666</v>
      </c>
      <c r="N51" s="258">
        <f t="shared" si="2"/>
        <v>40563.840799390935</v>
      </c>
      <c r="O51" s="187">
        <f t="shared" si="54"/>
        <v>851840.65678720968</v>
      </c>
      <c r="P51" s="480">
        <f>VLOOKUP($H51,'Cost Drivers'!$A$2:$R$66,4,FALSE)</f>
        <v>21</v>
      </c>
      <c r="Q51" s="264">
        <f t="shared" ref="Q51:Q58" si="64">$N51</f>
        <v>40563.840799390935</v>
      </c>
      <c r="R51" s="187">
        <f t="shared" si="55"/>
        <v>851840.65678720968</v>
      </c>
      <c r="S51" s="182">
        <f>VLOOKUP($H51,'Cost Drivers'!$A$2:$R$66,6,FALSE)</f>
        <v>21</v>
      </c>
      <c r="T51" s="264">
        <f t="shared" ref="T51:T58" si="65">$N51</f>
        <v>40563.840799390935</v>
      </c>
      <c r="U51" s="187">
        <f t="shared" si="56"/>
        <v>851840.65678720968</v>
      </c>
      <c r="V51" s="182">
        <f>VLOOKUP($H51,'Cost Drivers'!$A$2:$R$66,8,FALSE)</f>
        <v>21</v>
      </c>
      <c r="W51" s="264">
        <f t="shared" ref="W51:W58" si="66">$N51</f>
        <v>40563.840799390935</v>
      </c>
      <c r="X51" s="187">
        <f t="shared" si="57"/>
        <v>851840.65678720968</v>
      </c>
      <c r="Y51" s="182">
        <f>VLOOKUP($H51,'Cost Drivers'!$A$2:$R$66,10,FALSE)</f>
        <v>21</v>
      </c>
      <c r="Z51" s="264">
        <f t="shared" ref="Z51:Z58" si="67">$N51</f>
        <v>40563.840799390935</v>
      </c>
      <c r="AA51" s="187">
        <f t="shared" si="58"/>
        <v>851840.65678720968</v>
      </c>
      <c r="AB51" s="182">
        <f>VLOOKUP($H51,'Cost Drivers'!$A$2:$R$66,12,FALSE)</f>
        <v>21</v>
      </c>
      <c r="AC51" s="264">
        <f t="shared" ref="AC51:AC58" si="68">$N51</f>
        <v>40563.840799390935</v>
      </c>
      <c r="AD51" s="187">
        <f t="shared" si="59"/>
        <v>811276.81598781864</v>
      </c>
      <c r="AE51" s="182">
        <f>VLOOKUP($H51,'Cost Drivers'!$A$2:$R$66,14,FALSE)</f>
        <v>20</v>
      </c>
      <c r="AF51" s="264">
        <f t="shared" ref="AF51:AF58" si="69">$N51</f>
        <v>40563.840799390935</v>
      </c>
      <c r="AG51" s="187">
        <f t="shared" si="60"/>
        <v>851840.65678720968</v>
      </c>
      <c r="AH51" s="182">
        <f>VLOOKUP($H51,'Cost Drivers'!$A$2:$R$66,16,FALSE)</f>
        <v>21</v>
      </c>
      <c r="AI51" s="264">
        <f t="shared" ref="AI51:AI58" si="70">$N51</f>
        <v>40563.840799390935</v>
      </c>
      <c r="AJ51" s="187">
        <f t="shared" si="61"/>
        <v>730149.1343890368</v>
      </c>
      <c r="AK51" s="182">
        <f>VLOOKUP($H51,'Cost Drivers'!$A$2:$R$66,18,FALSE)</f>
        <v>18</v>
      </c>
      <c r="AL51" s="264">
        <f t="shared" ref="AL51:AL58" si="71">$N51</f>
        <v>40563.840799390935</v>
      </c>
      <c r="AM51" s="187">
        <f t="shared" si="62"/>
        <v>851840.65678720968</v>
      </c>
      <c r="AN51" s="182">
        <f>VLOOKUP($H51,'Cost Drivers'!$A$3:$V$67,20,FALSE)</f>
        <v>21</v>
      </c>
      <c r="AO51" s="264">
        <f t="shared" ref="AO51:AO58" si="72">$N51</f>
        <v>40563.840799390935</v>
      </c>
      <c r="AP51" s="187">
        <f t="shared" si="63"/>
        <v>851840.65678720968</v>
      </c>
      <c r="AQ51" s="182">
        <f>VLOOKUP($H51,'Cost Drivers'!$A$3:$V$67,22,FALSE)</f>
        <v>21</v>
      </c>
      <c r="AR51" s="264">
        <f t="shared" ref="AR51:AR58" si="73">$N51</f>
        <v>40563.840799390935</v>
      </c>
    </row>
    <row r="52" spans="2:44" outlineLevel="1" x14ac:dyDescent="0.25">
      <c r="B52" s="260" t="s">
        <v>265</v>
      </c>
      <c r="C52" s="261" t="s">
        <v>245</v>
      </c>
      <c r="D52" s="182">
        <f t="shared" si="3"/>
        <v>2000</v>
      </c>
      <c r="E52" s="262" t="s">
        <v>266</v>
      </c>
      <c r="F52" s="262" t="s">
        <v>200</v>
      </c>
      <c r="G52" s="287">
        <v>232924.79</v>
      </c>
      <c r="H52" s="180" t="s">
        <v>315</v>
      </c>
      <c r="I52" s="150">
        <v>0.1</v>
      </c>
      <c r="J52" s="255">
        <f t="shared" si="0"/>
        <v>0.9</v>
      </c>
      <c r="K52" s="263">
        <f t="shared" si="53"/>
        <v>23292.479000000003</v>
      </c>
      <c r="L52" s="257">
        <f t="shared" si="1"/>
        <v>209632.31100000002</v>
      </c>
      <c r="M52" s="462">
        <f>VLOOKUP($H52,'Cost Drivers'!$A$2:$R$66,2,FALSE)</f>
        <v>362</v>
      </c>
      <c r="N52" s="258">
        <f t="shared" si="2"/>
        <v>579.09478176795585</v>
      </c>
      <c r="O52" s="187">
        <f t="shared" si="54"/>
        <v>207808.13569846115</v>
      </c>
      <c r="P52" s="480">
        <f>VLOOKUP($H52,'Cost Drivers'!$A$2:$R$66,4,FALSE)</f>
        <v>358.84995382626357</v>
      </c>
      <c r="Q52" s="264">
        <f t="shared" si="64"/>
        <v>579.09478176795585</v>
      </c>
      <c r="R52" s="187">
        <f t="shared" si="55"/>
        <v>202259.37877356657</v>
      </c>
      <c r="S52" s="182">
        <f>VLOOKUP($H52,'Cost Drivers'!$A$2:$R$66,6,FALSE)</f>
        <v>349.26817706088775</v>
      </c>
      <c r="T52" s="264">
        <f t="shared" si="65"/>
        <v>579.09478176795585</v>
      </c>
      <c r="U52" s="187">
        <f t="shared" si="56"/>
        <v>206567.31915307304</v>
      </c>
      <c r="V52" s="182">
        <f>VLOOKUP($H52,'Cost Drivers'!$A$2:$R$66,8,FALSE)</f>
        <v>356.70727082435508</v>
      </c>
      <c r="W52" s="264">
        <f t="shared" si="66"/>
        <v>579.09478176795585</v>
      </c>
      <c r="X52" s="187">
        <f t="shared" si="57"/>
        <v>194884.31455994167</v>
      </c>
      <c r="Y52" s="182">
        <f>VLOOKUP($H52,'Cost Drivers'!$A$2:$R$66,10,FALSE)</f>
        <v>336.53267253586154</v>
      </c>
      <c r="Z52" s="264">
        <f t="shared" si="67"/>
        <v>579.09478176795585</v>
      </c>
      <c r="AA52" s="187">
        <f t="shared" si="58"/>
        <v>204079.29010072263</v>
      </c>
      <c r="AB52" s="182">
        <f>VLOOKUP($H52,'Cost Drivers'!$A$2:$R$66,12,FALSE)</f>
        <v>352.41086006279625</v>
      </c>
      <c r="AC52" s="264">
        <f t="shared" si="68"/>
        <v>579.09478176795585</v>
      </c>
      <c r="AD52" s="187">
        <f t="shared" si="59"/>
        <v>180713.28091445996</v>
      </c>
      <c r="AE52" s="182">
        <f>VLOOKUP($H52,'Cost Drivers'!$A$2:$R$66,14,FALSE)</f>
        <v>312.06166348580922</v>
      </c>
      <c r="AF52" s="264">
        <f t="shared" si="69"/>
        <v>579.09478176795585</v>
      </c>
      <c r="AG52" s="187">
        <f t="shared" si="60"/>
        <v>199109.62795759601</v>
      </c>
      <c r="AH52" s="182">
        <f>VLOOKUP($H52,'Cost Drivers'!$A$2:$R$66,16,FALSE)</f>
        <v>343.82908329742042</v>
      </c>
      <c r="AI52" s="264">
        <f t="shared" si="70"/>
        <v>579.09478176795585</v>
      </c>
      <c r="AJ52" s="187">
        <f t="shared" si="61"/>
        <v>152371.21362349653</v>
      </c>
      <c r="AK52" s="182">
        <f>VLOOKUP($H52,'Cost Drivers'!$A$2:$R$66,18,FALSE)</f>
        <v>263.11964538570459</v>
      </c>
      <c r="AL52" s="264">
        <f t="shared" si="71"/>
        <v>579.09478176795585</v>
      </c>
      <c r="AM52" s="187">
        <f t="shared" si="62"/>
        <v>209632.31100000002</v>
      </c>
      <c r="AN52" s="182">
        <f>VLOOKUP($H52,'Cost Drivers'!$A$3:$V$67,20,FALSE)</f>
        <v>362</v>
      </c>
      <c r="AO52" s="264">
        <f t="shared" si="72"/>
        <v>579.09478176795585</v>
      </c>
      <c r="AP52" s="187">
        <f t="shared" si="63"/>
        <v>209632.31100000002</v>
      </c>
      <c r="AQ52" s="182">
        <f>VLOOKUP($H52,'Cost Drivers'!$A$3:$V$67,22,FALSE)</f>
        <v>362</v>
      </c>
      <c r="AR52" s="264">
        <f t="shared" si="73"/>
        <v>579.09478176795585</v>
      </c>
    </row>
    <row r="53" spans="2:44" outlineLevel="1" x14ac:dyDescent="0.25">
      <c r="B53" s="260" t="s">
        <v>265</v>
      </c>
      <c r="C53" s="261" t="s">
        <v>246</v>
      </c>
      <c r="D53" s="182">
        <f t="shared" si="3"/>
        <v>2000</v>
      </c>
      <c r="E53" s="262" t="s">
        <v>266</v>
      </c>
      <c r="F53" s="262" t="s">
        <v>201</v>
      </c>
      <c r="G53" s="287">
        <v>362910.72833333333</v>
      </c>
      <c r="H53" s="180" t="s">
        <v>518</v>
      </c>
      <c r="I53" s="150">
        <v>0.1</v>
      </c>
      <c r="J53" s="255">
        <f t="shared" si="0"/>
        <v>0.9</v>
      </c>
      <c r="K53" s="263">
        <f t="shared" si="53"/>
        <v>36291.072833333332</v>
      </c>
      <c r="L53" s="257">
        <f t="shared" si="1"/>
        <v>326619.65549999999</v>
      </c>
      <c r="M53" s="462">
        <f>VLOOKUP($H53,'Cost Drivers'!$A$2:$R$66,2,FALSE)</f>
        <v>63.93</v>
      </c>
      <c r="N53" s="258">
        <f t="shared" si="2"/>
        <v>5109.0201079305489</v>
      </c>
      <c r="O53" s="187">
        <f t="shared" si="54"/>
        <v>326977.28690755513</v>
      </c>
      <c r="P53" s="480">
        <f>VLOOKUP($H53,'Cost Drivers'!$A$2:$R$66,4,FALSE)</f>
        <v>64</v>
      </c>
      <c r="Q53" s="264">
        <f t="shared" si="64"/>
        <v>5109.0201079305489</v>
      </c>
      <c r="R53" s="187">
        <f t="shared" si="55"/>
        <v>306541.20647583291</v>
      </c>
      <c r="S53" s="182">
        <f>VLOOKUP($H53,'Cost Drivers'!$A$2:$R$66,6,FALSE)</f>
        <v>60</v>
      </c>
      <c r="T53" s="264">
        <f t="shared" si="65"/>
        <v>5109.0201079305489</v>
      </c>
      <c r="U53" s="187">
        <f t="shared" si="56"/>
        <v>316759.24669169402</v>
      </c>
      <c r="V53" s="182">
        <f>VLOOKUP($H53,'Cost Drivers'!$A$2:$R$66,8,FALSE)</f>
        <v>62</v>
      </c>
      <c r="W53" s="264">
        <f t="shared" si="66"/>
        <v>5109.0201079305489</v>
      </c>
      <c r="X53" s="187">
        <f t="shared" si="57"/>
        <v>296323.16625997185</v>
      </c>
      <c r="Y53" s="182">
        <f>VLOOKUP($H53,'Cost Drivers'!$A$2:$R$66,10,FALSE)</f>
        <v>58</v>
      </c>
      <c r="Z53" s="264">
        <f t="shared" si="67"/>
        <v>5109.0201079305489</v>
      </c>
      <c r="AA53" s="187">
        <f t="shared" si="58"/>
        <v>306541.20647583291</v>
      </c>
      <c r="AB53" s="182">
        <f>VLOOKUP($H53,'Cost Drivers'!$A$2:$R$66,12,FALSE)</f>
        <v>60</v>
      </c>
      <c r="AC53" s="264">
        <f t="shared" si="68"/>
        <v>5109.0201079305489</v>
      </c>
      <c r="AD53" s="187">
        <f t="shared" si="59"/>
        <v>275887.08582824963</v>
      </c>
      <c r="AE53" s="182">
        <f>VLOOKUP($H53,'Cost Drivers'!$A$2:$R$66,14,FALSE)</f>
        <v>54</v>
      </c>
      <c r="AF53" s="264">
        <f t="shared" si="69"/>
        <v>5109.0201079305489</v>
      </c>
      <c r="AG53" s="187">
        <f t="shared" si="60"/>
        <v>296323.16625997185</v>
      </c>
      <c r="AH53" s="182">
        <f>VLOOKUP($H53,'Cost Drivers'!$A$2:$R$66,16,FALSE)</f>
        <v>58</v>
      </c>
      <c r="AI53" s="264">
        <f t="shared" si="70"/>
        <v>5109.0201079305489</v>
      </c>
      <c r="AJ53" s="187">
        <f t="shared" si="61"/>
        <v>229905.90485687469</v>
      </c>
      <c r="AK53" s="182">
        <f>VLOOKUP($H53,'Cost Drivers'!$A$2:$R$66,18,FALSE)</f>
        <v>45</v>
      </c>
      <c r="AL53" s="264">
        <f t="shared" si="71"/>
        <v>5109.0201079305489</v>
      </c>
      <c r="AM53" s="187">
        <f t="shared" si="62"/>
        <v>326619.65549999999</v>
      </c>
      <c r="AN53" s="182">
        <f>VLOOKUP($H53,'Cost Drivers'!$A$3:$V$67,20,FALSE)</f>
        <v>63.93</v>
      </c>
      <c r="AO53" s="264">
        <f t="shared" si="72"/>
        <v>5109.0201079305489</v>
      </c>
      <c r="AP53" s="187">
        <f t="shared" si="63"/>
        <v>326619.65549999999</v>
      </c>
      <c r="AQ53" s="182">
        <f>VLOOKUP($H53,'Cost Drivers'!$A$3:$V$67,22,FALSE)</f>
        <v>63.93</v>
      </c>
      <c r="AR53" s="264">
        <f t="shared" si="73"/>
        <v>5109.0201079305489</v>
      </c>
    </row>
    <row r="54" spans="2:44" outlineLevel="1" x14ac:dyDescent="0.25">
      <c r="B54" s="260" t="s">
        <v>265</v>
      </c>
      <c r="C54" s="261" t="s">
        <v>247</v>
      </c>
      <c r="D54" s="182">
        <f t="shared" si="3"/>
        <v>2000</v>
      </c>
      <c r="E54" s="262" t="s">
        <v>266</v>
      </c>
      <c r="F54" s="262" t="s">
        <v>202</v>
      </c>
      <c r="G54" s="287">
        <v>11680</v>
      </c>
      <c r="H54" s="180" t="s">
        <v>316</v>
      </c>
      <c r="I54" s="150">
        <v>0.1</v>
      </c>
      <c r="J54" s="255">
        <f t="shared" si="0"/>
        <v>0.9</v>
      </c>
      <c r="K54" s="263">
        <f t="shared" si="53"/>
        <v>1168</v>
      </c>
      <c r="L54" s="257">
        <f t="shared" si="1"/>
        <v>10512</v>
      </c>
      <c r="M54" s="462">
        <f>VLOOKUP($H54,'Cost Drivers'!$A$2:$R$66,2,FALSE)</f>
        <v>3</v>
      </c>
      <c r="N54" s="258">
        <f t="shared" si="2"/>
        <v>3504</v>
      </c>
      <c r="O54" s="187">
        <f t="shared" si="54"/>
        <v>10512</v>
      </c>
      <c r="P54" s="480">
        <f>VLOOKUP($H54,'Cost Drivers'!$A$2:$R$66,4,FALSE)</f>
        <v>3</v>
      </c>
      <c r="Q54" s="264">
        <f t="shared" si="64"/>
        <v>3504</v>
      </c>
      <c r="R54" s="187">
        <f t="shared" si="55"/>
        <v>10512</v>
      </c>
      <c r="S54" s="182">
        <f>VLOOKUP($H54,'Cost Drivers'!$A$2:$R$66,6,FALSE)</f>
        <v>3</v>
      </c>
      <c r="T54" s="264">
        <f t="shared" si="65"/>
        <v>3504</v>
      </c>
      <c r="U54" s="187">
        <f t="shared" si="56"/>
        <v>10512</v>
      </c>
      <c r="V54" s="182">
        <f>VLOOKUP($H54,'Cost Drivers'!$A$2:$R$66,8,FALSE)</f>
        <v>3</v>
      </c>
      <c r="W54" s="264">
        <f t="shared" si="66"/>
        <v>3504</v>
      </c>
      <c r="X54" s="187">
        <f t="shared" si="57"/>
        <v>10512</v>
      </c>
      <c r="Y54" s="182">
        <f>VLOOKUP($H54,'Cost Drivers'!$A$2:$R$66,10,FALSE)</f>
        <v>3</v>
      </c>
      <c r="Z54" s="264">
        <f t="shared" si="67"/>
        <v>3504</v>
      </c>
      <c r="AA54" s="187">
        <f t="shared" si="58"/>
        <v>10512</v>
      </c>
      <c r="AB54" s="182">
        <f>VLOOKUP($H54,'Cost Drivers'!$A$2:$R$66,12,FALSE)</f>
        <v>3</v>
      </c>
      <c r="AC54" s="264">
        <f t="shared" si="68"/>
        <v>3504</v>
      </c>
      <c r="AD54" s="187">
        <f t="shared" si="59"/>
        <v>10512</v>
      </c>
      <c r="AE54" s="182">
        <f>VLOOKUP($H54,'Cost Drivers'!$A$2:$R$66,14,FALSE)</f>
        <v>3</v>
      </c>
      <c r="AF54" s="264">
        <f t="shared" si="69"/>
        <v>3504</v>
      </c>
      <c r="AG54" s="187">
        <f t="shared" si="60"/>
        <v>10512</v>
      </c>
      <c r="AH54" s="182">
        <f>VLOOKUP($H54,'Cost Drivers'!$A$2:$R$66,16,FALSE)</f>
        <v>3</v>
      </c>
      <c r="AI54" s="264">
        <f t="shared" si="70"/>
        <v>3504</v>
      </c>
      <c r="AJ54" s="187">
        <f t="shared" si="61"/>
        <v>10512</v>
      </c>
      <c r="AK54" s="182">
        <f>VLOOKUP($H54,'Cost Drivers'!$A$2:$R$66,18,FALSE)</f>
        <v>3</v>
      </c>
      <c r="AL54" s="264">
        <f t="shared" si="71"/>
        <v>3504</v>
      </c>
      <c r="AM54" s="187">
        <f t="shared" si="62"/>
        <v>10512</v>
      </c>
      <c r="AN54" s="182">
        <f>VLOOKUP($H54,'Cost Drivers'!$A$3:$V$67,20,FALSE)</f>
        <v>3</v>
      </c>
      <c r="AO54" s="264">
        <f t="shared" si="72"/>
        <v>3504</v>
      </c>
      <c r="AP54" s="187">
        <f t="shared" si="63"/>
        <v>10512</v>
      </c>
      <c r="AQ54" s="182">
        <f>VLOOKUP($H54,'Cost Drivers'!$A$3:$V$67,22,FALSE)</f>
        <v>3</v>
      </c>
      <c r="AR54" s="264">
        <f t="shared" si="73"/>
        <v>3504</v>
      </c>
    </row>
    <row r="55" spans="2:44" outlineLevel="1" x14ac:dyDescent="0.25">
      <c r="B55" s="260" t="s">
        <v>265</v>
      </c>
      <c r="C55" s="261" t="s">
        <v>248</v>
      </c>
      <c r="D55" s="182">
        <f t="shared" si="3"/>
        <v>2000</v>
      </c>
      <c r="E55" s="262" t="s">
        <v>266</v>
      </c>
      <c r="F55" s="262" t="s">
        <v>203</v>
      </c>
      <c r="G55" s="287">
        <v>71743.863333333327</v>
      </c>
      <c r="H55" s="180" t="s">
        <v>524</v>
      </c>
      <c r="I55" s="150">
        <v>0.1</v>
      </c>
      <c r="J55" s="255">
        <f t="shared" si="0"/>
        <v>0.9</v>
      </c>
      <c r="K55" s="263">
        <f t="shared" si="53"/>
        <v>7174.3863333333329</v>
      </c>
      <c r="L55" s="257">
        <f t="shared" si="1"/>
        <v>64569.476999999999</v>
      </c>
      <c r="M55" s="462">
        <f>VLOOKUP($H55,'Cost Drivers'!$A$2:$R$66,2,FALSE)</f>
        <v>57.083333333333336</v>
      </c>
      <c r="N55" s="258">
        <f t="shared" si="2"/>
        <v>1131.1441226277373</v>
      </c>
      <c r="O55" s="187">
        <f t="shared" si="54"/>
        <v>64105.17145831434</v>
      </c>
      <c r="P55" s="480">
        <f>VLOOKUP($H55,'Cost Drivers'!$A$2:$R$66,4,FALSE)</f>
        <v>56.672859077756563</v>
      </c>
      <c r="Q55" s="264">
        <f t="shared" si="64"/>
        <v>1131.1441226277373</v>
      </c>
      <c r="R55" s="187">
        <f t="shared" si="55"/>
        <v>62251.924510250559</v>
      </c>
      <c r="S55" s="182">
        <f>VLOOKUP($H55,'Cost Drivers'!$A$2:$R$66,6,FALSE)</f>
        <v>55.034476389829457</v>
      </c>
      <c r="T55" s="264">
        <f t="shared" si="65"/>
        <v>1131.1441226277373</v>
      </c>
      <c r="U55" s="187">
        <f t="shared" si="56"/>
        <v>63642.456004100219</v>
      </c>
      <c r="V55" s="182">
        <f>VLOOKUP($H55,'Cost Drivers'!$A$2:$R$66,8,FALSE)</f>
        <v>56.263790555931777</v>
      </c>
      <c r="W55" s="264">
        <f t="shared" si="66"/>
        <v>1131.1441226277373</v>
      </c>
      <c r="X55" s="187">
        <f t="shared" si="57"/>
        <v>59933.576976765369</v>
      </c>
      <c r="Y55" s="182">
        <f>VLOOKUP($H55,'Cost Drivers'!$A$2:$R$66,10,FALSE)</f>
        <v>52.984916579449603</v>
      </c>
      <c r="Z55" s="264">
        <f t="shared" si="67"/>
        <v>1131.1441226277373</v>
      </c>
      <c r="AA55" s="187">
        <f t="shared" si="58"/>
        <v>62714.639964464688</v>
      </c>
      <c r="AB55" s="182">
        <f>VLOOKUP($H55,'Cost Drivers'!$A$2:$R$66,12,FALSE)</f>
        <v>55.443544911654243</v>
      </c>
      <c r="AC55" s="264">
        <f t="shared" si="68"/>
        <v>1131.1441226277373</v>
      </c>
      <c r="AD55" s="187">
        <f t="shared" si="59"/>
        <v>55296.881909794982</v>
      </c>
      <c r="AE55" s="182">
        <f>VLOOKUP($H55,'Cost Drivers'!$A$2:$R$66,14,FALSE)</f>
        <v>48.885796958689888</v>
      </c>
      <c r="AF55" s="264">
        <f t="shared" si="69"/>
        <v>1131.1441226277373</v>
      </c>
      <c r="AG55" s="187">
        <f t="shared" si="60"/>
        <v>60861.3930164009</v>
      </c>
      <c r="AH55" s="182">
        <f>VLOOKUP($H55,'Cost Drivers'!$A$2:$R$66,16,FALSE)</f>
        <v>53.80516222372713</v>
      </c>
      <c r="AI55" s="264">
        <f t="shared" si="70"/>
        <v>1131.1441226277373</v>
      </c>
      <c r="AJ55" s="187">
        <f t="shared" si="61"/>
        <v>46023.491775854207</v>
      </c>
      <c r="AK55" s="182">
        <f>VLOOKUP($H55,'Cost Drivers'!$A$2:$R$66,18,FALSE)</f>
        <v>40.687557717170463</v>
      </c>
      <c r="AL55" s="264">
        <f t="shared" si="71"/>
        <v>1131.1441226277373</v>
      </c>
      <c r="AM55" s="187">
        <f t="shared" si="62"/>
        <v>64569.477000000006</v>
      </c>
      <c r="AN55" s="182">
        <f>VLOOKUP($H55,'Cost Drivers'!$A$3:$V$67,20,FALSE)</f>
        <v>57.083333333333336</v>
      </c>
      <c r="AO55" s="264">
        <f t="shared" si="72"/>
        <v>1131.1441226277373</v>
      </c>
      <c r="AP55" s="187">
        <f t="shared" si="63"/>
        <v>64569.477000000006</v>
      </c>
      <c r="AQ55" s="182">
        <f>VLOOKUP($H55,'Cost Drivers'!$A$3:$V$67,22,FALSE)</f>
        <v>57.083333333333336</v>
      </c>
      <c r="AR55" s="264">
        <f t="shared" si="73"/>
        <v>1131.1441226277373</v>
      </c>
    </row>
    <row r="56" spans="2:44" outlineLevel="1" x14ac:dyDescent="0.25">
      <c r="B56" s="260" t="s">
        <v>265</v>
      </c>
      <c r="C56" s="261" t="s">
        <v>250</v>
      </c>
      <c r="D56" s="182">
        <f t="shared" si="3"/>
        <v>2000</v>
      </c>
      <c r="E56" s="262" t="s">
        <v>266</v>
      </c>
      <c r="F56" s="262" t="s">
        <v>204</v>
      </c>
      <c r="G56" s="287">
        <v>13059.616666666667</v>
      </c>
      <c r="H56" s="180" t="s">
        <v>531</v>
      </c>
      <c r="I56" s="150">
        <v>0.5</v>
      </c>
      <c r="J56" s="255">
        <f t="shared" si="0"/>
        <v>0.5</v>
      </c>
      <c r="K56" s="263">
        <f t="shared" si="53"/>
        <v>6529.8083333333334</v>
      </c>
      <c r="L56" s="257">
        <f t="shared" si="1"/>
        <v>6529.8083333333334</v>
      </c>
      <c r="M56" s="462">
        <f>VLOOKUP($H56,'Cost Drivers'!$A$2:$R$66,2,FALSE)</f>
        <v>38938.833333333328</v>
      </c>
      <c r="N56" s="258">
        <f t="shared" si="2"/>
        <v>0.16769399014693989</v>
      </c>
      <c r="O56" s="187">
        <f t="shared" si="54"/>
        <v>6454.5696297540753</v>
      </c>
      <c r="P56" s="480">
        <f>VLOOKUP($H56,'Cost Drivers'!$A$2:$R$66,4,FALSE)</f>
        <v>38490.166666666672</v>
      </c>
      <c r="Q56" s="264">
        <f t="shared" si="64"/>
        <v>0.16769399014693989</v>
      </c>
      <c r="R56" s="187">
        <f t="shared" si="55"/>
        <v>6519.2715609524348</v>
      </c>
      <c r="S56" s="182">
        <f>VLOOKUP($H56,'Cost Drivers'!$A$2:$R$66,6,FALSE)</f>
        <v>38876</v>
      </c>
      <c r="T56" s="264">
        <f t="shared" si="65"/>
        <v>0.16769399014693989</v>
      </c>
      <c r="U56" s="187">
        <f t="shared" si="56"/>
        <v>6454.5696297540753</v>
      </c>
      <c r="V56" s="182">
        <f>VLOOKUP($H56,'Cost Drivers'!$A$2:$R$66,8,FALSE)</f>
        <v>38490.166666666672</v>
      </c>
      <c r="W56" s="264">
        <f t="shared" si="66"/>
        <v>0.16769399014693989</v>
      </c>
      <c r="X56" s="187">
        <f t="shared" si="57"/>
        <v>6519.2715609524348</v>
      </c>
      <c r="Y56" s="182">
        <f>VLOOKUP($H56,'Cost Drivers'!$A$2:$R$66,10,FALSE)</f>
        <v>38876</v>
      </c>
      <c r="Z56" s="264">
        <f t="shared" si="67"/>
        <v>0.16769399014693989</v>
      </c>
      <c r="AA56" s="187">
        <f t="shared" si="58"/>
        <v>6454.5696297540753</v>
      </c>
      <c r="AB56" s="182">
        <f>VLOOKUP($H56,'Cost Drivers'!$A$2:$R$66,12,FALSE)</f>
        <v>38490.166666666672</v>
      </c>
      <c r="AC56" s="264">
        <f t="shared" si="68"/>
        <v>0.16769399014693989</v>
      </c>
      <c r="AD56" s="187">
        <f t="shared" si="59"/>
        <v>6519.2715609524348</v>
      </c>
      <c r="AE56" s="182">
        <f>VLOOKUP($H56,'Cost Drivers'!$A$2:$R$66,14,FALSE)</f>
        <v>38876</v>
      </c>
      <c r="AF56" s="264">
        <f t="shared" si="69"/>
        <v>0.16769399014693989</v>
      </c>
      <c r="AG56" s="187">
        <f t="shared" si="60"/>
        <v>6454.5696297540753</v>
      </c>
      <c r="AH56" s="182">
        <f>VLOOKUP($H56,'Cost Drivers'!$A$2:$R$66,16,FALSE)</f>
        <v>38490.166666666672</v>
      </c>
      <c r="AI56" s="264">
        <f t="shared" si="70"/>
        <v>0.16769399014693989</v>
      </c>
      <c r="AJ56" s="187">
        <f t="shared" si="61"/>
        <v>6519.2715609524348</v>
      </c>
      <c r="AK56" s="182">
        <f>VLOOKUP($H56,'Cost Drivers'!$A$2:$R$66,18,FALSE)</f>
        <v>38876</v>
      </c>
      <c r="AL56" s="264">
        <f t="shared" si="71"/>
        <v>0.16769399014693989</v>
      </c>
      <c r="AM56" s="187">
        <f t="shared" si="62"/>
        <v>6454.5696297540753</v>
      </c>
      <c r="AN56" s="182">
        <f>VLOOKUP($H56,'Cost Drivers'!$A$3:$V$67,20,FALSE)</f>
        <v>38490.166666666672</v>
      </c>
      <c r="AO56" s="264">
        <f t="shared" si="72"/>
        <v>0.16769399014693989</v>
      </c>
      <c r="AP56" s="187">
        <f t="shared" si="63"/>
        <v>6519.2715609524348</v>
      </c>
      <c r="AQ56" s="182">
        <f>VLOOKUP($H56,'Cost Drivers'!$A$3:$V$67,22,FALSE)</f>
        <v>38876</v>
      </c>
      <c r="AR56" s="264">
        <f t="shared" si="73"/>
        <v>0.16769399014693989</v>
      </c>
    </row>
    <row r="57" spans="2:44" s="265" customFormat="1" outlineLevel="1" x14ac:dyDescent="0.25">
      <c r="B57" s="260" t="s">
        <v>265</v>
      </c>
      <c r="C57" s="261" t="s">
        <v>249</v>
      </c>
      <c r="D57" s="182">
        <f t="shared" si="3"/>
        <v>2000</v>
      </c>
      <c r="E57" s="262" t="s">
        <v>266</v>
      </c>
      <c r="F57" s="262" t="s">
        <v>205</v>
      </c>
      <c r="G57" s="287">
        <v>28550.333333333332</v>
      </c>
      <c r="H57" s="180" t="s">
        <v>322</v>
      </c>
      <c r="I57" s="135">
        <v>0.1</v>
      </c>
      <c r="J57" s="255">
        <f t="shared" si="0"/>
        <v>0.9</v>
      </c>
      <c r="K57" s="263">
        <f t="shared" si="53"/>
        <v>2855.0333333333333</v>
      </c>
      <c r="L57" s="257">
        <f t="shared" si="1"/>
        <v>25695.3</v>
      </c>
      <c r="M57" s="462">
        <f>VLOOKUP($H57,'Cost Drivers'!$A$2:$R$66,2,FALSE)</f>
        <v>44</v>
      </c>
      <c r="N57" s="258">
        <f t="shared" si="2"/>
        <v>583.98409090909092</v>
      </c>
      <c r="O57" s="187">
        <f t="shared" si="54"/>
        <v>25523.128417500124</v>
      </c>
      <c r="P57" s="480">
        <f>VLOOKUP($H57,'Cost Drivers'!$A$2:$R$66,4,FALSE)</f>
        <v>43.705177614972598</v>
      </c>
      <c r="Q57" s="264">
        <f t="shared" si="64"/>
        <v>583.98409090909092</v>
      </c>
      <c r="R57" s="187">
        <f t="shared" si="55"/>
        <v>24835.916159268603</v>
      </c>
      <c r="S57" s="182">
        <f>VLOOKUP($H57,'Cost Drivers'!$A$2:$R$66,6,FALSE)</f>
        <v>42.528412239118381</v>
      </c>
      <c r="T57" s="264">
        <f t="shared" si="65"/>
        <v>583.98409090909092</v>
      </c>
      <c r="U57" s="187">
        <f t="shared" si="56"/>
        <v>25351.546463707444</v>
      </c>
      <c r="V57" s="182">
        <f>VLOOKUP($H57,'Cost Drivers'!$A$2:$R$66,8,FALSE)</f>
        <v>43.411364895647353</v>
      </c>
      <c r="W57" s="264">
        <f t="shared" si="66"/>
        <v>583.98409090909092</v>
      </c>
      <c r="X57" s="187">
        <f t="shared" si="57"/>
        <v>23976.237504183617</v>
      </c>
      <c r="Y57" s="182">
        <f>VLOOKUP($H57,'Cost Drivers'!$A$2:$R$66,10,FALSE)</f>
        <v>41.056319645385699</v>
      </c>
      <c r="Z57" s="264">
        <f t="shared" si="67"/>
        <v>583.98409090909092</v>
      </c>
      <c r="AA57" s="187">
        <f t="shared" si="58"/>
        <v>25007.49811306129</v>
      </c>
      <c r="AB57" s="182">
        <f>VLOOKUP($H57,'Cost Drivers'!$A$2:$R$66,12,FALSE)</f>
        <v>42.822224958443634</v>
      </c>
      <c r="AC57" s="264">
        <f t="shared" si="68"/>
        <v>583.98409090909092</v>
      </c>
      <c r="AD57" s="187">
        <f t="shared" si="59"/>
        <v>22256.880194013644</v>
      </c>
      <c r="AE57" s="182">
        <f>VLOOKUP($H57,'Cost Drivers'!$A$2:$R$66,14,FALSE)</f>
        <v>38.112134457920334</v>
      </c>
      <c r="AF57" s="264">
        <f t="shared" si="69"/>
        <v>583.98409090909092</v>
      </c>
      <c r="AG57" s="187">
        <f t="shared" si="60"/>
        <v>24320.28585482977</v>
      </c>
      <c r="AH57" s="182">
        <f>VLOOKUP($H57,'Cost Drivers'!$A$2:$R$66,16,FALSE)</f>
        <v>41.645459582589417</v>
      </c>
      <c r="AI57" s="264">
        <f t="shared" si="70"/>
        <v>583.98409090909092</v>
      </c>
      <c r="AJ57" s="187">
        <f t="shared" si="61"/>
        <v>18818.165573673694</v>
      </c>
      <c r="AK57" s="182">
        <f>VLOOKUP($H57,'Cost Drivers'!$A$2:$R$66,18,FALSE)</f>
        <v>32.223764082989597</v>
      </c>
      <c r="AL57" s="264">
        <f t="shared" si="71"/>
        <v>583.98409090909092</v>
      </c>
      <c r="AM57" s="187">
        <f t="shared" si="62"/>
        <v>25695.3</v>
      </c>
      <c r="AN57" s="182">
        <f>VLOOKUP($H57,'Cost Drivers'!$A$3:$V$67,20,FALSE)</f>
        <v>44</v>
      </c>
      <c r="AO57" s="264">
        <f t="shared" si="72"/>
        <v>583.98409090909092</v>
      </c>
      <c r="AP57" s="187">
        <f t="shared" si="63"/>
        <v>25695.3</v>
      </c>
      <c r="AQ57" s="182">
        <f>VLOOKUP($H57,'Cost Drivers'!$A$3:$V$67,22,FALSE)</f>
        <v>44</v>
      </c>
      <c r="AR57" s="264">
        <f t="shared" si="73"/>
        <v>583.98409090909092</v>
      </c>
    </row>
    <row r="58" spans="2:44" outlineLevel="1" x14ac:dyDescent="0.25">
      <c r="B58" s="260" t="s">
        <v>265</v>
      </c>
      <c r="C58" s="261" t="s">
        <v>251</v>
      </c>
      <c r="D58" s="182">
        <f t="shared" si="3"/>
        <v>2000</v>
      </c>
      <c r="E58" s="262" t="s">
        <v>266</v>
      </c>
      <c r="F58" s="262" t="s">
        <v>206</v>
      </c>
      <c r="G58" s="287">
        <v>0</v>
      </c>
      <c r="H58" s="180" t="s">
        <v>322</v>
      </c>
      <c r="I58" s="150">
        <v>0.1</v>
      </c>
      <c r="J58" s="255">
        <f t="shared" si="0"/>
        <v>0.9</v>
      </c>
      <c r="K58" s="263">
        <f t="shared" si="53"/>
        <v>0</v>
      </c>
      <c r="L58" s="257">
        <f t="shared" si="1"/>
        <v>0</v>
      </c>
      <c r="M58" s="462">
        <f>VLOOKUP($H58,'Cost Drivers'!$A$2:$R$66,2,FALSE)</f>
        <v>44</v>
      </c>
      <c r="N58" s="258">
        <f t="shared" si="2"/>
        <v>0</v>
      </c>
      <c r="O58" s="187">
        <f t="shared" si="54"/>
        <v>0</v>
      </c>
      <c r="P58" s="480">
        <f>VLOOKUP($H58,'Cost Drivers'!$A$2:$R$66,4,FALSE)</f>
        <v>43.705177614972598</v>
      </c>
      <c r="Q58" s="264">
        <f t="shared" si="64"/>
        <v>0</v>
      </c>
      <c r="R58" s="187">
        <f t="shared" si="55"/>
        <v>0</v>
      </c>
      <c r="S58" s="182">
        <f>VLOOKUP($H58,'Cost Drivers'!$A$2:$R$66,6,FALSE)</f>
        <v>42.528412239118381</v>
      </c>
      <c r="T58" s="264">
        <f t="shared" si="65"/>
        <v>0</v>
      </c>
      <c r="U58" s="187">
        <f t="shared" si="56"/>
        <v>0</v>
      </c>
      <c r="V58" s="182">
        <f>VLOOKUP($H58,'Cost Drivers'!$A$2:$R$66,8,FALSE)</f>
        <v>43.411364895647353</v>
      </c>
      <c r="W58" s="264">
        <f t="shared" si="66"/>
        <v>0</v>
      </c>
      <c r="X58" s="187">
        <f t="shared" si="57"/>
        <v>0</v>
      </c>
      <c r="Y58" s="182">
        <f>VLOOKUP($H58,'Cost Drivers'!$A$2:$R$66,10,FALSE)</f>
        <v>41.056319645385699</v>
      </c>
      <c r="Z58" s="264">
        <f t="shared" si="67"/>
        <v>0</v>
      </c>
      <c r="AA58" s="187">
        <f t="shared" si="58"/>
        <v>0</v>
      </c>
      <c r="AB58" s="182">
        <f>VLOOKUP($H58,'Cost Drivers'!$A$2:$R$66,12,FALSE)</f>
        <v>42.822224958443634</v>
      </c>
      <c r="AC58" s="264">
        <f t="shared" si="68"/>
        <v>0</v>
      </c>
      <c r="AD58" s="187">
        <f t="shared" si="59"/>
        <v>0</v>
      </c>
      <c r="AE58" s="182">
        <f>VLOOKUP($H58,'Cost Drivers'!$A$2:$R$66,14,FALSE)</f>
        <v>38.112134457920334</v>
      </c>
      <c r="AF58" s="264">
        <f t="shared" si="69"/>
        <v>0</v>
      </c>
      <c r="AG58" s="187">
        <f t="shared" si="60"/>
        <v>0</v>
      </c>
      <c r="AH58" s="182">
        <f>VLOOKUP($H58,'Cost Drivers'!$A$2:$R$66,16,FALSE)</f>
        <v>41.645459582589417</v>
      </c>
      <c r="AI58" s="264">
        <f t="shared" si="70"/>
        <v>0</v>
      </c>
      <c r="AJ58" s="187">
        <f t="shared" si="61"/>
        <v>0</v>
      </c>
      <c r="AK58" s="182">
        <f>VLOOKUP($H58,'Cost Drivers'!$A$2:$R$66,18,FALSE)</f>
        <v>32.223764082989597</v>
      </c>
      <c r="AL58" s="264">
        <f t="shared" si="71"/>
        <v>0</v>
      </c>
      <c r="AM58" s="187">
        <f t="shared" si="62"/>
        <v>0</v>
      </c>
      <c r="AN58" s="182">
        <f>VLOOKUP($H58,'Cost Drivers'!$A$3:$V$67,20,FALSE)</f>
        <v>44</v>
      </c>
      <c r="AO58" s="264">
        <f t="shared" si="72"/>
        <v>0</v>
      </c>
      <c r="AP58" s="187">
        <f t="shared" si="63"/>
        <v>0</v>
      </c>
      <c r="AQ58" s="182">
        <f>VLOOKUP($H58,'Cost Drivers'!$A$3:$V$67,22,FALSE)</f>
        <v>44</v>
      </c>
      <c r="AR58" s="264">
        <f t="shared" si="73"/>
        <v>0</v>
      </c>
    </row>
    <row r="59" spans="2:44" ht="27" outlineLevel="1" x14ac:dyDescent="0.25">
      <c r="B59" s="250" t="s">
        <v>265</v>
      </c>
      <c r="C59" s="251" t="s">
        <v>252</v>
      </c>
      <c r="D59" s="182">
        <f t="shared" si="3"/>
        <v>3000</v>
      </c>
      <c r="E59" s="252" t="s">
        <v>266</v>
      </c>
      <c r="F59" s="252" t="s">
        <v>269</v>
      </c>
      <c r="G59" s="253">
        <f ca="1">SUMIF(E60:G68, E60, G60:G68)</f>
        <v>381917.76666666666</v>
      </c>
      <c r="H59" s="181" t="s">
        <v>270</v>
      </c>
      <c r="I59" s="254">
        <f ca="1">K59/G59</f>
        <v>0.21063095345219604</v>
      </c>
      <c r="J59" s="255">
        <f t="shared" ref="J59" ca="1" si="74">1-I59</f>
        <v>0.78936904654780393</v>
      </c>
      <c r="K59" s="256">
        <f>SUMIFS(K$19:K$168, $B$19:$B$168,$B59,$D$19:$D$168,$C59,$F$19:$F$168,"&lt;&gt;"&amp;$F59)</f>
        <v>80443.703333333338</v>
      </c>
      <c r="L59" s="257">
        <f t="shared" ca="1" si="1"/>
        <v>301474.0633333333</v>
      </c>
      <c r="M59" s="462">
        <f>VLOOKUP($H59,'Cost Drivers'!$A$2:$R$66,2,FALSE)</f>
        <v>27071.666666666668</v>
      </c>
      <c r="N59" s="258">
        <f t="shared" ca="1" si="2"/>
        <v>11.136147140306592</v>
      </c>
      <c r="O59" s="256">
        <f>SUMIFS(O$19:O$168, $E$19:$E$168,$E59,$C$19:$C$168,"3100")+SUMIFS(O$19:O$168, $E$19:$E$168,$E59,$C$19:$C$168,"3200")+SUMIFS(O$19:O$168, $E$19:$E$168,$E59,$C$19:$C$168,"3300")+SUMIFS(O$19:O$168, $E$19:$E$168,$E59,$C$19:$C$168,"3400")</f>
        <v>78483.357943159572</v>
      </c>
      <c r="P59" s="480">
        <f>VLOOKUP($H59,'Cost Drivers'!$A$2:$R$66,4,FALSE)</f>
        <v>26877</v>
      </c>
      <c r="Q59" s="264">
        <f>O59/P59</f>
        <v>2.9200936839364351</v>
      </c>
      <c r="R59" s="256">
        <f>SUMIFS(R$19:R$168, $E$19:$E$168,$E59,$C$19:$C$168,"3100")+SUMIFS(R$19:R$168, $E$19:$E$168,$E59,$C$19:$C$168,"3200")+SUMIFS(R$19:R$168, $E$19:$E$168,$E59,$C$19:$C$168,"3300")+SUMIFS(R$19:R$168, $E$19:$E$168,$E59,$C$19:$C$168,"3400")</f>
        <v>76711.680002633017</v>
      </c>
      <c r="S59" s="182">
        <f>VLOOKUP($H59,'Cost Drivers'!$A$2:$R$66,6,FALSE)</f>
        <v>26100</v>
      </c>
      <c r="T59" s="264">
        <f>R59/S59</f>
        <v>2.9391448276870888</v>
      </c>
      <c r="U59" s="256">
        <f>SUMIFS(U$19:U$168, $E$19:$E$168,$E59,$C$19:$C$168,"3100")+SUMIFS(U$19:U$168, $E$19:$E$168,$E59,$C$19:$C$168,"3200")+SUMIFS(U$19:U$168, $E$19:$E$168,$E59,$C$19:$C$168,"3300")+SUMIFS(U$19:U$168, $E$19:$E$168,$E59,$C$19:$C$168,"3400")</f>
        <v>78483.357943159572</v>
      </c>
      <c r="V59" s="182">
        <f>VLOOKUP($H59,'Cost Drivers'!$A$2:$R$66,8,FALSE)</f>
        <v>26683</v>
      </c>
      <c r="W59" s="264">
        <f>U59/V59</f>
        <v>2.9413243616969447</v>
      </c>
      <c r="X59" s="256">
        <f>SUMIFS(X$19:X$168, $E$19:$E$168,$E59,$C$19:$C$168,"3100")+SUMIFS(X$19:X$168, $E$19:$E$168,$E59,$C$19:$C$168,"3200")+SUMIFS(X$19:X$168, $E$19:$E$168,$E59,$C$19:$C$168,"3300")+SUMIFS(X$19:X$168, $E$19:$E$168,$E59,$C$19:$C$168,"3400")</f>
        <v>74998.599738285295</v>
      </c>
      <c r="Y59" s="182">
        <f>VLOOKUP($H59,'Cost Drivers'!$A$2:$R$66,10,FALSE)</f>
        <v>25128</v>
      </c>
      <c r="Z59" s="264">
        <f>X59/Y59</f>
        <v>2.984662517442108</v>
      </c>
      <c r="AA59" s="256">
        <f>SUMIFS(AA$19:AA$168, $E$19:$E$168,$E59,$C$19:$C$168,"3100")+SUMIFS(AA$19:AA$168, $E$19:$E$168,$E59,$C$19:$C$168,"3200")+SUMIFS(AA$19:AA$168, $E$19:$E$168,$E59,$C$19:$C$168,"3300")+SUMIFS(AA$19:AA$168, $E$19:$E$168,$E59,$C$19:$C$168,"3400")</f>
        <v>78483.357943159572</v>
      </c>
      <c r="AB59" s="182">
        <f>VLOOKUP($H59,'Cost Drivers'!$A$2:$R$66,12,FALSE)</f>
        <v>26294</v>
      </c>
      <c r="AC59" s="264">
        <f>AA59/AB59</f>
        <v>2.9848390485722818</v>
      </c>
      <c r="AD59" s="256">
        <f>SUMIFS(AD$19:AD$168, $E$19:$E$168,$E59,$C$19:$C$168,"3100")+SUMIFS(AD$19:AD$168, $E$19:$E$168,$E59,$C$19:$C$168,"3200")+SUMIFS(AD$19:AD$168, $E$19:$E$168,$E59,$C$19:$C$168,"3300")+SUMIFS(AD$19:AD$168, $E$19:$E$168,$E59,$C$19:$C$168,"3400")</f>
        <v>71572.439209589837</v>
      </c>
      <c r="AE59" s="182">
        <f>VLOOKUP($H59,'Cost Drivers'!$A$2:$R$66,14,FALSE)</f>
        <v>23184</v>
      </c>
      <c r="AF59" s="264">
        <f>AD59/AE59</f>
        <v>3.0871479990333781</v>
      </c>
      <c r="AG59" s="256">
        <f>SUMIFS(AG$19:AG$168, $E$19:$E$168,$E59,$C$19:$C$168,"3100")+SUMIFS(AG$19:AG$168, $E$19:$E$168,$E59,$C$19:$C$168,"3200")+SUMIFS(AG$19:AG$168, $E$19:$E$168,$E59,$C$19:$C$168,"3300")+SUMIFS(AG$19:AG$168, $E$19:$E$168,$E59,$C$19:$C$168,"3400")</f>
        <v>78483.357943159572</v>
      </c>
      <c r="AH59" s="182">
        <f>VLOOKUP($H59,'Cost Drivers'!$A$2:$R$66,16,FALSE)</f>
        <v>25517</v>
      </c>
      <c r="AI59" s="264">
        <f>AG59/AH59</f>
        <v>3.0757282573640934</v>
      </c>
      <c r="AJ59" s="256">
        <f>SUMIFS(AJ$19:AJ$168, $E$19:$E$168,$E59,$C$19:$C$168,"3100")+SUMIFS(AJ$19:AJ$168, $E$19:$E$168,$E59,$C$19:$C$168,"3200")+SUMIFS(AJ$19:AJ$168, $E$19:$E$168,$E59,$C$19:$C$168,"3300")+SUMIFS(AJ$19:AJ$168, $E$19:$E$168,$E59,$C$19:$C$168,"3400")</f>
        <v>64726.678233956518</v>
      </c>
      <c r="AK59" s="182">
        <f>VLOOKUP($H59,'Cost Drivers'!$A$2:$R$66,18,FALSE)</f>
        <v>19296</v>
      </c>
      <c r="AL59" s="264">
        <f>AJ59/AK59</f>
        <v>3.3544091124562874</v>
      </c>
      <c r="AM59" s="256">
        <f>SUMIFS(AM$19:AM$168, $E$19:$E$168,$E59,$C$19:$C$168,"3100")+SUMIFS(AM$19:AM$168, $E$19:$E$168,$E59,$C$19:$C$168,"3200")+SUMIFS(AM$19:AM$168, $E$19:$E$168,$E59,$C$19:$C$168,"3300")+SUMIFS(AM$19:AM$168, $E$19:$E$168,$E59,$C$19:$C$168,"3400")</f>
        <v>78483.357943159572</v>
      </c>
      <c r="AN59" s="182">
        <f>VLOOKUP($H59,'Cost Drivers'!$A$3:$V$67,20,FALSE)</f>
        <v>27072</v>
      </c>
      <c r="AO59" s="264">
        <f>AM59/AN59</f>
        <v>2.8990602077112726</v>
      </c>
      <c r="AP59" s="256">
        <f>SUMIFS(AP$19:AP$168, $E$19:$E$168,$E59,$C$19:$C$168,"3100")+SUMIFS(AP$19:AP$168, $E$19:$E$168,$E59,$C$19:$C$168,"3200")+SUMIFS(AP$19:AP$168, $E$19:$E$168,$E59,$C$19:$C$168,"3300")+SUMIFS(AP$19:AP$168, $E$19:$E$168,$E59,$C$19:$C$168,"3400")</f>
        <v>78424.313459845813</v>
      </c>
      <c r="AQ59" s="182">
        <f>VLOOKUP($H59,'Cost Drivers'!$A$3:$V$67,22,FALSE)</f>
        <v>27072</v>
      </c>
      <c r="AR59" s="264">
        <f>AP59/AQ59</f>
        <v>2.8968791910404037</v>
      </c>
    </row>
    <row r="60" spans="2:44" outlineLevel="1" x14ac:dyDescent="0.25">
      <c r="B60" s="260" t="s">
        <v>265</v>
      </c>
      <c r="C60" s="261" t="s">
        <v>253</v>
      </c>
      <c r="D60" s="182">
        <f t="shared" si="3"/>
        <v>3000</v>
      </c>
      <c r="E60" s="262" t="s">
        <v>266</v>
      </c>
      <c r="F60" s="262" t="s">
        <v>207</v>
      </c>
      <c r="G60" s="287">
        <v>0</v>
      </c>
      <c r="H60" s="180" t="s">
        <v>313</v>
      </c>
      <c r="I60" s="135">
        <v>0.75</v>
      </c>
      <c r="J60" s="255">
        <f t="shared" si="0"/>
        <v>0.25</v>
      </c>
      <c r="K60" s="263">
        <f t="shared" ref="K60:K65" si="75">G60*I60</f>
        <v>0</v>
      </c>
      <c r="L60" s="257">
        <f t="shared" si="1"/>
        <v>0</v>
      </c>
      <c r="M60" s="462">
        <f>VLOOKUP($H60,'Cost Drivers'!$A$2:$R$66,2,FALSE)</f>
        <v>46.8333333333334</v>
      </c>
      <c r="N60" s="258">
        <f t="shared" si="2"/>
        <v>0</v>
      </c>
      <c r="O60" s="187">
        <f t="shared" ref="O60:O65" si="76">P60*Q60</f>
        <v>0</v>
      </c>
      <c r="P60" s="480">
        <f>VLOOKUP($H60,'Cost Drivers'!$A$2:$R$66,4,FALSE)</f>
        <v>47</v>
      </c>
      <c r="Q60" s="264">
        <f>$N60</f>
        <v>0</v>
      </c>
      <c r="R60" s="187">
        <f t="shared" ref="R60:R65" si="77">S60*T60</f>
        <v>0</v>
      </c>
      <c r="S60" s="182">
        <f>VLOOKUP($H60,'Cost Drivers'!$A$2:$R$66,6,FALSE)</f>
        <v>46</v>
      </c>
      <c r="T60" s="264">
        <f>$N60</f>
        <v>0</v>
      </c>
      <c r="U60" s="187">
        <f t="shared" ref="U60:U65" si="78">V60*W60</f>
        <v>0</v>
      </c>
      <c r="V60" s="182">
        <f>VLOOKUP($H60,'Cost Drivers'!$A$2:$R$66,8,FALSE)</f>
        <v>47</v>
      </c>
      <c r="W60" s="264">
        <f>$N60</f>
        <v>0</v>
      </c>
      <c r="X60" s="187">
        <f t="shared" ref="X60:X65" si="79">Y60*Z60</f>
        <v>0</v>
      </c>
      <c r="Y60" s="182">
        <f>VLOOKUP($H60,'Cost Drivers'!$A$2:$R$66,10,FALSE)</f>
        <v>45</v>
      </c>
      <c r="Z60" s="264">
        <f>$N60</f>
        <v>0</v>
      </c>
      <c r="AA60" s="187">
        <f t="shared" ref="AA60:AA65" si="80">AB60*AC60</f>
        <v>0</v>
      </c>
      <c r="AB60" s="182">
        <f>VLOOKUP($H60,'Cost Drivers'!$A$2:$R$66,12,FALSE)</f>
        <v>47</v>
      </c>
      <c r="AC60" s="264">
        <f>$N60</f>
        <v>0</v>
      </c>
      <c r="AD60" s="187">
        <f t="shared" ref="AD60:AD65" si="81">AE60*AF60</f>
        <v>0</v>
      </c>
      <c r="AE60" s="182">
        <f>VLOOKUP($H60,'Cost Drivers'!$A$2:$R$66,14,FALSE)</f>
        <v>43.400000000000006</v>
      </c>
      <c r="AF60" s="264">
        <f>$N60</f>
        <v>0</v>
      </c>
      <c r="AG60" s="187">
        <f t="shared" ref="AG60:AG65" si="82">AH60*AI60</f>
        <v>0</v>
      </c>
      <c r="AH60" s="182">
        <f>VLOOKUP($H60,'Cost Drivers'!$A$2:$R$66,16,FALSE)</f>
        <v>47</v>
      </c>
      <c r="AI60" s="264">
        <f>$N60</f>
        <v>0</v>
      </c>
      <c r="AJ60" s="187">
        <f t="shared" ref="AJ60:AJ65" si="83">AK60*AL60</f>
        <v>0</v>
      </c>
      <c r="AK60" s="182">
        <f>VLOOKUP($H60,'Cost Drivers'!$A$2:$R$66,18,FALSE)</f>
        <v>39</v>
      </c>
      <c r="AL60" s="264">
        <f>$N60</f>
        <v>0</v>
      </c>
      <c r="AM60" s="187">
        <f t="shared" ref="AM60:AM65" si="84">AN60*AO60</f>
        <v>0</v>
      </c>
      <c r="AN60" s="182">
        <f>VLOOKUP($H60,'Cost Drivers'!$A$3:$V$67,20,FALSE)</f>
        <v>46.8333333333334</v>
      </c>
      <c r="AO60" s="264">
        <f>$N60</f>
        <v>0</v>
      </c>
      <c r="AP60" s="187">
        <f t="shared" ref="AP60:AP65" si="85">AQ60*AR60</f>
        <v>0</v>
      </c>
      <c r="AQ60" s="182">
        <f>VLOOKUP($H60,'Cost Drivers'!$A$3:$V$67,22,FALSE)</f>
        <v>46.8333333333334</v>
      </c>
      <c r="AR60" s="264">
        <f>$N60</f>
        <v>0</v>
      </c>
    </row>
    <row r="61" spans="2:44" outlineLevel="1" x14ac:dyDescent="0.25">
      <c r="B61" s="260" t="s">
        <v>265</v>
      </c>
      <c r="C61" s="261" t="s">
        <v>254</v>
      </c>
      <c r="D61" s="182">
        <f t="shared" si="3"/>
        <v>3000</v>
      </c>
      <c r="E61" s="262" t="s">
        <v>266</v>
      </c>
      <c r="F61" s="262" t="s">
        <v>208</v>
      </c>
      <c r="G61" s="287">
        <v>16582.936666666665</v>
      </c>
      <c r="H61" s="180" t="s">
        <v>536</v>
      </c>
      <c r="I61" s="135">
        <v>0.5</v>
      </c>
      <c r="J61" s="255">
        <f t="shared" ref="J61:J124" si="86">1-I61</f>
        <v>0.5</v>
      </c>
      <c r="K61" s="263">
        <f t="shared" si="75"/>
        <v>8291.4683333333323</v>
      </c>
      <c r="L61" s="257">
        <f t="shared" ref="L61:L124" si="87">G61*J61</f>
        <v>8291.4683333333323</v>
      </c>
      <c r="M61" s="462">
        <f>VLOOKUP($H61,'Cost Drivers'!$A$2:$R$66,2,FALSE)</f>
        <v>8137.833333333333</v>
      </c>
      <c r="N61" s="258">
        <f t="shared" ref="N61:N124" si="88">L61/M61</f>
        <v>1.0188791037745508</v>
      </c>
      <c r="O61" s="187">
        <f t="shared" si="76"/>
        <v>8047.9562275312155</v>
      </c>
      <c r="P61" s="480">
        <f>VLOOKUP($H61,'Cost Drivers'!$A$2:$R$66,4,FALSE)</f>
        <v>7898.8333333333339</v>
      </c>
      <c r="Q61" s="264">
        <f t="shared" ref="Q61:Q65" si="89">$N61</f>
        <v>1.0188791037745508</v>
      </c>
      <c r="R61" s="187">
        <f t="shared" si="77"/>
        <v>7582.4982902902075</v>
      </c>
      <c r="S61" s="182">
        <f>VLOOKUP($H61,'Cost Drivers'!$A$2:$R$66,6,FALSE)</f>
        <v>7442</v>
      </c>
      <c r="T61" s="264">
        <f t="shared" ref="T61:T65" si="90">$N61</f>
        <v>1.0188791037745508</v>
      </c>
      <c r="U61" s="187">
        <f t="shared" si="78"/>
        <v>8047.9562275312155</v>
      </c>
      <c r="V61" s="182">
        <f>VLOOKUP($H61,'Cost Drivers'!$A$2:$R$66,8,FALSE)</f>
        <v>7898.8333333333339</v>
      </c>
      <c r="W61" s="264">
        <f t="shared" ref="W61:W65" si="91">$N61</f>
        <v>1.0188791037745508</v>
      </c>
      <c r="X61" s="187">
        <f t="shared" si="79"/>
        <v>7390.9490187805914</v>
      </c>
      <c r="Y61" s="182">
        <f>VLOOKUP($H61,'Cost Drivers'!$A$2:$R$66,10,FALSE)</f>
        <v>7254</v>
      </c>
      <c r="Z61" s="264">
        <f t="shared" ref="Z61:Z65" si="92">$N61</f>
        <v>1.0188791037745508</v>
      </c>
      <c r="AA61" s="187">
        <f t="shared" si="80"/>
        <v>8047.9562275312155</v>
      </c>
      <c r="AB61" s="182">
        <f>VLOOKUP($H61,'Cost Drivers'!$A$2:$R$66,12,FALSE)</f>
        <v>7898.8333333333339</v>
      </c>
      <c r="AC61" s="264">
        <f t="shared" ref="AC61:AC65" si="93">$N61</f>
        <v>1.0188791037745508</v>
      </c>
      <c r="AD61" s="187">
        <f t="shared" si="81"/>
        <v>7007.8504757613609</v>
      </c>
      <c r="AE61" s="182">
        <f>VLOOKUP($H61,'Cost Drivers'!$A$2:$R$66,14,FALSE)</f>
        <v>6878</v>
      </c>
      <c r="AF61" s="264">
        <f t="shared" ref="AF61:AF65" si="94">$N61</f>
        <v>1.0188791037745508</v>
      </c>
      <c r="AG61" s="187">
        <f t="shared" si="82"/>
        <v>8047.9562275312155</v>
      </c>
      <c r="AH61" s="182">
        <f>VLOOKUP($H61,'Cost Drivers'!$A$2:$R$66,16,FALSE)</f>
        <v>7898.8333333333339</v>
      </c>
      <c r="AI61" s="264">
        <f t="shared" ref="AI61:AI65" si="95">$N61</f>
        <v>1.0188791037745508</v>
      </c>
      <c r="AJ61" s="187">
        <f t="shared" si="83"/>
        <v>6250.8233016568693</v>
      </c>
      <c r="AK61" s="182">
        <f>VLOOKUP($H61,'Cost Drivers'!$A$2:$R$66,18,FALSE)</f>
        <v>6135</v>
      </c>
      <c r="AL61" s="264">
        <f t="shared" ref="AL61:AL65" si="96">$N61</f>
        <v>1.0188791037745508</v>
      </c>
      <c r="AM61" s="187">
        <f t="shared" si="84"/>
        <v>8047.9562275312155</v>
      </c>
      <c r="AN61" s="182">
        <f>VLOOKUP($H61,'Cost Drivers'!$A$3:$V$67,20,FALSE)</f>
        <v>7898.8333333333339</v>
      </c>
      <c r="AO61" s="264">
        <f t="shared" ref="AO61:AO65" si="97">$N61</f>
        <v>1.0188791037745508</v>
      </c>
      <c r="AP61" s="187">
        <f t="shared" si="85"/>
        <v>7770.9909244884993</v>
      </c>
      <c r="AQ61" s="182">
        <f>VLOOKUP($H61,'Cost Drivers'!$A$3:$V$67,22,FALSE)</f>
        <v>7627</v>
      </c>
      <c r="AR61" s="264">
        <f t="shared" ref="AR61:AR65" si="98">$N61</f>
        <v>1.0188791037745508</v>
      </c>
    </row>
    <row r="62" spans="2:44" outlineLevel="1" x14ac:dyDescent="0.25">
      <c r="B62" s="260" t="s">
        <v>265</v>
      </c>
      <c r="C62" s="261" t="s">
        <v>255</v>
      </c>
      <c r="D62" s="182">
        <f t="shared" si="3"/>
        <v>3000</v>
      </c>
      <c r="E62" s="262" t="s">
        <v>266</v>
      </c>
      <c r="F62" s="262" t="s">
        <v>209</v>
      </c>
      <c r="G62" s="287">
        <v>144304.47</v>
      </c>
      <c r="H62" s="180" t="s">
        <v>532</v>
      </c>
      <c r="I62" s="150">
        <v>0.5</v>
      </c>
      <c r="J62" s="255">
        <f t="shared" si="86"/>
        <v>0.5</v>
      </c>
      <c r="K62" s="263">
        <f t="shared" si="75"/>
        <v>72152.235000000001</v>
      </c>
      <c r="L62" s="257">
        <f t="shared" si="87"/>
        <v>72152.235000000001</v>
      </c>
      <c r="M62" s="462">
        <f>VLOOKUP($H62,'Cost Drivers'!$A$2:$R$66,2,FALSE)</f>
        <v>27646.333333333332</v>
      </c>
      <c r="N62" s="258">
        <f t="shared" si="88"/>
        <v>2.6098301763946998</v>
      </c>
      <c r="O62" s="187">
        <f t="shared" si="76"/>
        <v>70435.401715628352</v>
      </c>
      <c r="P62" s="480">
        <f>VLOOKUP($H62,'Cost Drivers'!$A$2:$R$66,4,FALSE)</f>
        <v>26988.5</v>
      </c>
      <c r="Q62" s="264">
        <f t="shared" si="89"/>
        <v>2.6098301763946998</v>
      </c>
      <c r="R62" s="187">
        <f t="shared" si="77"/>
        <v>69129.181712342805</v>
      </c>
      <c r="S62" s="182">
        <f>VLOOKUP($H62,'Cost Drivers'!$A$2:$R$66,6,FALSE)</f>
        <v>26488</v>
      </c>
      <c r="T62" s="264">
        <f t="shared" si="90"/>
        <v>2.6098301763946998</v>
      </c>
      <c r="U62" s="187">
        <f t="shared" si="78"/>
        <v>70435.401715628352</v>
      </c>
      <c r="V62" s="182">
        <f>VLOOKUP($H62,'Cost Drivers'!$A$2:$R$66,8,FALSE)</f>
        <v>26988.5</v>
      </c>
      <c r="W62" s="264">
        <f t="shared" si="91"/>
        <v>2.6098301763946998</v>
      </c>
      <c r="X62" s="187">
        <f t="shared" si="79"/>
        <v>67607.650719504702</v>
      </c>
      <c r="Y62" s="182">
        <f>VLOOKUP($H62,'Cost Drivers'!$A$2:$R$66,10,FALSE)</f>
        <v>25905</v>
      </c>
      <c r="Z62" s="264">
        <f t="shared" si="92"/>
        <v>2.6098301763946998</v>
      </c>
      <c r="AA62" s="187">
        <f t="shared" si="80"/>
        <v>70435.401715628352</v>
      </c>
      <c r="AB62" s="182">
        <f>VLOOKUP($H62,'Cost Drivers'!$A$2:$R$66,12,FALSE)</f>
        <v>26988.5</v>
      </c>
      <c r="AC62" s="264">
        <f t="shared" si="93"/>
        <v>2.6098301763946998</v>
      </c>
      <c r="AD62" s="187">
        <f t="shared" si="81"/>
        <v>64564.588733828481</v>
      </c>
      <c r="AE62" s="182">
        <f>VLOOKUP($H62,'Cost Drivers'!$A$2:$R$66,14,FALSE)</f>
        <v>24739</v>
      </c>
      <c r="AF62" s="264">
        <f t="shared" si="94"/>
        <v>2.6098301763946998</v>
      </c>
      <c r="AG62" s="187">
        <f t="shared" si="82"/>
        <v>70435.401715628352</v>
      </c>
      <c r="AH62" s="182">
        <f>VLOOKUP($H62,'Cost Drivers'!$A$2:$R$66,16,FALSE)</f>
        <v>26988.5</v>
      </c>
      <c r="AI62" s="264">
        <f t="shared" si="95"/>
        <v>2.6098301763946998</v>
      </c>
      <c r="AJ62" s="187">
        <f t="shared" si="83"/>
        <v>58475.854932299648</v>
      </c>
      <c r="AK62" s="182">
        <f>VLOOKUP($H62,'Cost Drivers'!$A$2:$R$66,18,FALSE)</f>
        <v>22406</v>
      </c>
      <c r="AL62" s="264">
        <f t="shared" si="96"/>
        <v>2.6098301763946998</v>
      </c>
      <c r="AM62" s="187">
        <f t="shared" si="84"/>
        <v>70435.401715628352</v>
      </c>
      <c r="AN62" s="182">
        <f>VLOOKUP($H62,'Cost Drivers'!$A$3:$V$67,20,FALSE)</f>
        <v>26988.5</v>
      </c>
      <c r="AO62" s="264">
        <f t="shared" si="97"/>
        <v>2.6098301763946998</v>
      </c>
      <c r="AP62" s="187">
        <f t="shared" si="85"/>
        <v>70653.322535357307</v>
      </c>
      <c r="AQ62" s="182">
        <f>VLOOKUP($H62,'Cost Drivers'!$A$3:$V$67,22,FALSE)</f>
        <v>27072</v>
      </c>
      <c r="AR62" s="264">
        <f t="shared" si="98"/>
        <v>2.6098301763946998</v>
      </c>
    </row>
    <row r="63" spans="2:44" outlineLevel="1" x14ac:dyDescent="0.25">
      <c r="B63" s="260" t="s">
        <v>265</v>
      </c>
      <c r="C63" s="261" t="s">
        <v>256</v>
      </c>
      <c r="D63" s="182">
        <f t="shared" si="3"/>
        <v>3000</v>
      </c>
      <c r="E63" s="262" t="s">
        <v>266</v>
      </c>
      <c r="F63" s="262" t="s">
        <v>210</v>
      </c>
      <c r="G63" s="287">
        <v>0</v>
      </c>
      <c r="H63" s="180" t="s">
        <v>536</v>
      </c>
      <c r="I63" s="135">
        <v>0.5</v>
      </c>
      <c r="J63" s="255">
        <f t="shared" si="86"/>
        <v>0.5</v>
      </c>
      <c r="K63" s="263">
        <f t="shared" si="75"/>
        <v>0</v>
      </c>
      <c r="L63" s="257">
        <f t="shared" si="87"/>
        <v>0</v>
      </c>
      <c r="M63" s="462">
        <f>VLOOKUP($H63,'Cost Drivers'!$A$2:$R$66,2,FALSE)</f>
        <v>8137.833333333333</v>
      </c>
      <c r="N63" s="258">
        <f t="shared" si="88"/>
        <v>0</v>
      </c>
      <c r="O63" s="187">
        <f t="shared" si="76"/>
        <v>0</v>
      </c>
      <c r="P63" s="480">
        <f>VLOOKUP($H63,'Cost Drivers'!$A$2:$R$66,4,FALSE)</f>
        <v>7898.8333333333339</v>
      </c>
      <c r="Q63" s="264">
        <f t="shared" si="89"/>
        <v>0</v>
      </c>
      <c r="R63" s="187">
        <f t="shared" si="77"/>
        <v>0</v>
      </c>
      <c r="S63" s="182">
        <f>VLOOKUP($H63,'Cost Drivers'!$A$2:$R$66,6,FALSE)</f>
        <v>7442</v>
      </c>
      <c r="T63" s="264">
        <f t="shared" si="90"/>
        <v>0</v>
      </c>
      <c r="U63" s="187">
        <f t="shared" si="78"/>
        <v>0</v>
      </c>
      <c r="V63" s="182">
        <f>VLOOKUP($H63,'Cost Drivers'!$A$2:$R$66,8,FALSE)</f>
        <v>7898.8333333333339</v>
      </c>
      <c r="W63" s="264">
        <f t="shared" si="91"/>
        <v>0</v>
      </c>
      <c r="X63" s="187">
        <f t="shared" si="79"/>
        <v>0</v>
      </c>
      <c r="Y63" s="182">
        <f>VLOOKUP($H63,'Cost Drivers'!$A$2:$R$66,10,FALSE)</f>
        <v>7254</v>
      </c>
      <c r="Z63" s="264">
        <f t="shared" si="92"/>
        <v>0</v>
      </c>
      <c r="AA63" s="187">
        <f t="shared" si="80"/>
        <v>0</v>
      </c>
      <c r="AB63" s="182">
        <f>VLOOKUP($H63,'Cost Drivers'!$A$2:$R$66,12,FALSE)</f>
        <v>7898.8333333333339</v>
      </c>
      <c r="AC63" s="264">
        <f t="shared" si="93"/>
        <v>0</v>
      </c>
      <c r="AD63" s="187">
        <f t="shared" si="81"/>
        <v>0</v>
      </c>
      <c r="AE63" s="182">
        <f>VLOOKUP($H63,'Cost Drivers'!$A$2:$R$66,14,FALSE)</f>
        <v>6878</v>
      </c>
      <c r="AF63" s="264">
        <f t="shared" si="94"/>
        <v>0</v>
      </c>
      <c r="AG63" s="187">
        <f t="shared" si="82"/>
        <v>0</v>
      </c>
      <c r="AH63" s="182">
        <f>VLOOKUP($H63,'Cost Drivers'!$A$2:$R$66,16,FALSE)</f>
        <v>7898.8333333333339</v>
      </c>
      <c r="AI63" s="264">
        <f t="shared" si="95"/>
        <v>0</v>
      </c>
      <c r="AJ63" s="187">
        <f t="shared" si="83"/>
        <v>0</v>
      </c>
      <c r="AK63" s="182">
        <f>VLOOKUP($H63,'Cost Drivers'!$A$2:$R$66,18,FALSE)</f>
        <v>6135</v>
      </c>
      <c r="AL63" s="264">
        <f t="shared" si="96"/>
        <v>0</v>
      </c>
      <c r="AM63" s="187">
        <f t="shared" si="84"/>
        <v>0</v>
      </c>
      <c r="AN63" s="182">
        <f>VLOOKUP($H63,'Cost Drivers'!$A$3:$V$67,20,FALSE)</f>
        <v>7898.8333333333339</v>
      </c>
      <c r="AO63" s="264">
        <f t="shared" si="97"/>
        <v>0</v>
      </c>
      <c r="AP63" s="187">
        <f t="shared" si="85"/>
        <v>0</v>
      </c>
      <c r="AQ63" s="182">
        <f>VLOOKUP($H63,'Cost Drivers'!$A$3:$V$67,22,FALSE)</f>
        <v>7627</v>
      </c>
      <c r="AR63" s="264">
        <f t="shared" si="98"/>
        <v>0</v>
      </c>
    </row>
    <row r="64" spans="2:44" outlineLevel="1" x14ac:dyDescent="0.25">
      <c r="B64" s="250" t="s">
        <v>265</v>
      </c>
      <c r="C64" s="251" t="s">
        <v>257</v>
      </c>
      <c r="D64" s="182">
        <f t="shared" si="3"/>
        <v>4000</v>
      </c>
      <c r="E64" s="252" t="s">
        <v>266</v>
      </c>
      <c r="F64" s="252" t="s">
        <v>211</v>
      </c>
      <c r="G64" s="287">
        <v>0</v>
      </c>
      <c r="H64" s="180" t="s">
        <v>93</v>
      </c>
      <c r="I64" s="135">
        <v>1</v>
      </c>
      <c r="J64" s="255">
        <f t="shared" si="86"/>
        <v>0</v>
      </c>
      <c r="K64" s="256">
        <f t="shared" si="75"/>
        <v>0</v>
      </c>
      <c r="L64" s="257">
        <f t="shared" si="87"/>
        <v>0</v>
      </c>
      <c r="M64" s="462">
        <f>VLOOKUP($H64,'Cost Drivers'!$A$2:$R$66,2,FALSE)</f>
        <v>1</v>
      </c>
      <c r="N64" s="258">
        <f t="shared" si="88"/>
        <v>0</v>
      </c>
      <c r="O64" s="256">
        <f t="shared" si="76"/>
        <v>0</v>
      </c>
      <c r="P64" s="480">
        <f>VLOOKUP($H64,'Cost Drivers'!$A$2:$R$66,4,FALSE)</f>
        <v>1</v>
      </c>
      <c r="Q64" s="264">
        <f t="shared" si="89"/>
        <v>0</v>
      </c>
      <c r="R64" s="256">
        <f t="shared" si="77"/>
        <v>0</v>
      </c>
      <c r="S64" s="182">
        <f>VLOOKUP($H64,'Cost Drivers'!$A$2:$R$66,6,FALSE)</f>
        <v>1</v>
      </c>
      <c r="T64" s="264">
        <f t="shared" si="90"/>
        <v>0</v>
      </c>
      <c r="U64" s="256">
        <f t="shared" si="78"/>
        <v>0</v>
      </c>
      <c r="V64" s="182">
        <f>VLOOKUP($H64,'Cost Drivers'!$A$2:$R$66,8,FALSE)</f>
        <v>1</v>
      </c>
      <c r="W64" s="264">
        <f t="shared" si="91"/>
        <v>0</v>
      </c>
      <c r="X64" s="256">
        <f t="shared" si="79"/>
        <v>0</v>
      </c>
      <c r="Y64" s="182">
        <f>VLOOKUP($H64,'Cost Drivers'!$A$2:$R$66,10,FALSE)</f>
        <v>1</v>
      </c>
      <c r="Z64" s="264">
        <f t="shared" si="92"/>
        <v>0</v>
      </c>
      <c r="AA64" s="256">
        <f t="shared" si="80"/>
        <v>0</v>
      </c>
      <c r="AB64" s="182">
        <f>VLOOKUP($H64,'Cost Drivers'!$A$2:$R$66,12,FALSE)</f>
        <v>1</v>
      </c>
      <c r="AC64" s="264">
        <f t="shared" si="93"/>
        <v>0</v>
      </c>
      <c r="AD64" s="256">
        <f t="shared" si="81"/>
        <v>0</v>
      </c>
      <c r="AE64" s="182">
        <f>VLOOKUP($H64,'Cost Drivers'!$A$2:$R$66,14,FALSE)</f>
        <v>1</v>
      </c>
      <c r="AF64" s="264">
        <f t="shared" si="94"/>
        <v>0</v>
      </c>
      <c r="AG64" s="256">
        <f t="shared" si="82"/>
        <v>0</v>
      </c>
      <c r="AH64" s="182">
        <f>VLOOKUP($H64,'Cost Drivers'!$A$2:$R$66,16,FALSE)</f>
        <v>1</v>
      </c>
      <c r="AI64" s="264">
        <f t="shared" si="95"/>
        <v>0</v>
      </c>
      <c r="AJ64" s="256">
        <f t="shared" si="83"/>
        <v>0</v>
      </c>
      <c r="AK64" s="182">
        <f>VLOOKUP($H64,'Cost Drivers'!$A$2:$R$66,18,FALSE)</f>
        <v>1</v>
      </c>
      <c r="AL64" s="264">
        <f t="shared" si="96"/>
        <v>0</v>
      </c>
      <c r="AM64" s="256">
        <f t="shared" si="84"/>
        <v>0</v>
      </c>
      <c r="AN64" s="182">
        <f>VLOOKUP($H64,'Cost Drivers'!$A$3:$V$67,20,FALSE)</f>
        <v>1</v>
      </c>
      <c r="AO64" s="264">
        <f t="shared" si="97"/>
        <v>0</v>
      </c>
      <c r="AP64" s="256">
        <f t="shared" si="85"/>
        <v>0</v>
      </c>
      <c r="AQ64" s="182">
        <f>VLOOKUP($H64,'Cost Drivers'!$A$3:$V$67,22,FALSE)</f>
        <v>1</v>
      </c>
      <c r="AR64" s="264">
        <f t="shared" si="98"/>
        <v>0</v>
      </c>
    </row>
    <row r="65" spans="2:44" outlineLevel="1" x14ac:dyDescent="0.25">
      <c r="B65" s="250" t="s">
        <v>265</v>
      </c>
      <c r="C65" s="251" t="s">
        <v>258</v>
      </c>
      <c r="D65" s="182">
        <f t="shared" si="3"/>
        <v>5000</v>
      </c>
      <c r="E65" s="252" t="s">
        <v>266</v>
      </c>
      <c r="F65" s="252" t="s">
        <v>212</v>
      </c>
      <c r="G65" s="287">
        <v>221030.36</v>
      </c>
      <c r="H65" s="180" t="s">
        <v>93</v>
      </c>
      <c r="I65" s="135">
        <v>1</v>
      </c>
      <c r="J65" s="255">
        <f t="shared" si="86"/>
        <v>0</v>
      </c>
      <c r="K65" s="256">
        <f t="shared" si="75"/>
        <v>221030.36</v>
      </c>
      <c r="L65" s="257">
        <f t="shared" si="87"/>
        <v>0</v>
      </c>
      <c r="M65" s="462">
        <f>VLOOKUP($H65,'Cost Drivers'!$A$2:$R$66,2,FALSE)</f>
        <v>1</v>
      </c>
      <c r="N65" s="258">
        <f t="shared" si="88"/>
        <v>0</v>
      </c>
      <c r="O65" s="256">
        <f t="shared" si="76"/>
        <v>0</v>
      </c>
      <c r="P65" s="480">
        <f>VLOOKUP($H65,'Cost Drivers'!$A$2:$R$66,4,FALSE)</f>
        <v>1</v>
      </c>
      <c r="Q65" s="264">
        <f t="shared" si="89"/>
        <v>0</v>
      </c>
      <c r="R65" s="256">
        <f t="shared" si="77"/>
        <v>0</v>
      </c>
      <c r="S65" s="182">
        <f>VLOOKUP($H65,'Cost Drivers'!$A$2:$R$66,6,FALSE)</f>
        <v>1</v>
      </c>
      <c r="T65" s="264">
        <f t="shared" si="90"/>
        <v>0</v>
      </c>
      <c r="U65" s="256">
        <f t="shared" si="78"/>
        <v>0</v>
      </c>
      <c r="V65" s="182">
        <f>VLOOKUP($H65,'Cost Drivers'!$A$2:$R$66,8,FALSE)</f>
        <v>1</v>
      </c>
      <c r="W65" s="264">
        <f t="shared" si="91"/>
        <v>0</v>
      </c>
      <c r="X65" s="256">
        <f t="shared" si="79"/>
        <v>0</v>
      </c>
      <c r="Y65" s="182">
        <f>VLOOKUP($H65,'Cost Drivers'!$A$2:$R$66,10,FALSE)</f>
        <v>1</v>
      </c>
      <c r="Z65" s="264">
        <f t="shared" si="92"/>
        <v>0</v>
      </c>
      <c r="AA65" s="256">
        <f t="shared" si="80"/>
        <v>0</v>
      </c>
      <c r="AB65" s="182">
        <f>VLOOKUP($H65,'Cost Drivers'!$A$2:$R$66,12,FALSE)</f>
        <v>1</v>
      </c>
      <c r="AC65" s="264">
        <f t="shared" si="93"/>
        <v>0</v>
      </c>
      <c r="AD65" s="256">
        <f t="shared" si="81"/>
        <v>0</v>
      </c>
      <c r="AE65" s="182">
        <f>VLOOKUP($H65,'Cost Drivers'!$A$2:$R$66,14,FALSE)</f>
        <v>1</v>
      </c>
      <c r="AF65" s="264">
        <f t="shared" si="94"/>
        <v>0</v>
      </c>
      <c r="AG65" s="256">
        <f t="shared" si="82"/>
        <v>0</v>
      </c>
      <c r="AH65" s="182">
        <f>VLOOKUP($H65,'Cost Drivers'!$A$2:$R$66,16,FALSE)</f>
        <v>1</v>
      </c>
      <c r="AI65" s="264">
        <f t="shared" si="95"/>
        <v>0</v>
      </c>
      <c r="AJ65" s="256">
        <f t="shared" si="83"/>
        <v>0</v>
      </c>
      <c r="AK65" s="182">
        <f>VLOOKUP($H65,'Cost Drivers'!$A$2:$R$66,18,FALSE)</f>
        <v>1</v>
      </c>
      <c r="AL65" s="264">
        <f t="shared" si="96"/>
        <v>0</v>
      </c>
      <c r="AM65" s="256">
        <f t="shared" si="84"/>
        <v>0</v>
      </c>
      <c r="AN65" s="182">
        <f>VLOOKUP($H65,'Cost Drivers'!$A$3:$V$67,20,FALSE)</f>
        <v>1</v>
      </c>
      <c r="AO65" s="264">
        <f t="shared" si="97"/>
        <v>0</v>
      </c>
      <c r="AP65" s="256">
        <f t="shared" si="85"/>
        <v>0</v>
      </c>
      <c r="AQ65" s="182">
        <f>VLOOKUP($H65,'Cost Drivers'!$A$3:$V$67,22,FALSE)</f>
        <v>1</v>
      </c>
      <c r="AR65" s="264">
        <f t="shared" si="98"/>
        <v>0</v>
      </c>
    </row>
    <row r="66" spans="2:44" s="249" customFormat="1" ht="30" customHeight="1" x14ac:dyDescent="0.25">
      <c r="B66" s="238" t="s">
        <v>228</v>
      </c>
      <c r="C66" s="239" t="s">
        <v>196</v>
      </c>
      <c r="D66" s="182">
        <f t="shared" si="3"/>
        <v>0</v>
      </c>
      <c r="E66" s="240" t="s">
        <v>229</v>
      </c>
      <c r="F66" s="240" t="s">
        <v>235</v>
      </c>
      <c r="G66" s="253">
        <f>SUM(G67,G72,G82,)</f>
        <v>36862396.01166667</v>
      </c>
      <c r="H66" s="181" t="s">
        <v>270</v>
      </c>
      <c r="I66" s="242">
        <f>K66/G66</f>
        <v>8.4559601023044481E-2</v>
      </c>
      <c r="J66" s="243">
        <f t="shared" si="86"/>
        <v>0.91544039897695551</v>
      </c>
      <c r="K66" s="241">
        <f>SUMIFS(K$19:K$168,$E$19:$E$168,$E66,$F$19:$F$168,"&lt;&gt;"&amp;$F66,$C$19:$C$168,"1000")+SUMIFS(K$19:K$168,$E$19:$E$168,$E66,$F$19:$F$168,"&lt;&gt;"&amp;$F66,$C$19:$C$168,"2000")+SUMIFS(K$19:K$168,$E$19:$E$168,$E66,$F$19:$F$168,"&lt;&gt;"&amp;$F66,$C$19:$C$168,"3000")+SUMIFS(K$19:K$168,$E$19:$E$168,$E66,$F$19:$F$168,"&lt;&gt;"&amp;$F66,$C$19:$C$168,"4000")+SUMIFS(K$19:K$168,$E$19:$E$168,$E66,$F$19:$F$168,"&lt;&gt;"&amp;$F66,$C$19:$C$168,"5000")</f>
        <v>3117069.4994999999</v>
      </c>
      <c r="L66" s="244">
        <f t="shared" si="87"/>
        <v>33745326.512166671</v>
      </c>
      <c r="M66" s="461">
        <f>VLOOKUP($H66,'Cost Drivers'!$A$2:$R$66,2,FALSE)</f>
        <v>27071.666666666668</v>
      </c>
      <c r="N66" s="245">
        <f t="shared" si="88"/>
        <v>1246.5182483100414</v>
      </c>
      <c r="O66" s="246">
        <f>SUMIFS(O$19:O$168, $E$19:$E$168,$E66,$C$19:$C$168,"1000")+SUMIFS(O$19:O$168, $E$19:$E$168,$E66,$C$19:$C$168,"2000")+SUMIFS(O$19:O$168, $E$19:$E$168,$E66,$C$19:$C$168,"3000")+SUMIFS(O$19:O$168, $E$19:$E$168,$E66,$C$19:$C$168,"4000")+SUMIFS(O$19:O$168, $E$19:$E$168,$E66,$C$19:$C$168,"5000")</f>
        <v>33768266.403150275</v>
      </c>
      <c r="P66" s="479">
        <f>VLOOKUP($H66,'Cost Drivers'!$A$2:$R$66,4,FALSE)</f>
        <v>26877</v>
      </c>
      <c r="Q66" s="248">
        <f>O66/P66</f>
        <v>1256.4001340607313</v>
      </c>
      <c r="R66" s="246">
        <f>SUMIFS(R$19:R$168, $E$19:$E$168,$E66,$C$19:$C$168,"1000")+SUMIFS(R$19:R$168, $E$19:$E$168,$E66,$C$19:$C$168,"2000")+SUMIFS(R$19:R$168, $E$19:$E$168,$E66,$C$19:$C$168,"3000")+SUMIFS(R$19:R$168, $E$19:$E$168,$E66,$C$19:$C$168,"4000")+SUMIFS(R$19:R$168, $E$19:$E$168,$E66,$C$19:$C$168,"5000")</f>
        <v>32893891.295966908</v>
      </c>
      <c r="S66" s="247">
        <f>VLOOKUP($H66,'Cost Drivers'!$A$2:$R$66,6,FALSE)</f>
        <v>26100</v>
      </c>
      <c r="T66" s="248">
        <f>R66/S66</f>
        <v>1260.3023485044791</v>
      </c>
      <c r="U66" s="246">
        <f>SUMIFS(U$19:U$168, $E$19:$E$168,$E66,$C$19:$C$168,"1000")+SUMIFS(U$19:U$168, $E$19:$E$168,$E66,$C$19:$C$168,"2000")+SUMIFS(U$19:U$168, $E$19:$E$168,$E66,$C$19:$C$168,"3000")+SUMIFS(U$19:U$168, $E$19:$E$168,$E66,$C$19:$C$168,"4000")+SUMIFS(U$19:U$168, $E$19:$E$168,$E66,$C$19:$C$168,"5000")</f>
        <v>33536338.602547556</v>
      </c>
      <c r="V66" s="247">
        <f>VLOOKUP($H66,'Cost Drivers'!$A$2:$R$66,8,FALSE)</f>
        <v>26683</v>
      </c>
      <c r="W66" s="248">
        <f>U66/V66</f>
        <v>1256.8428813307182</v>
      </c>
      <c r="X66" s="246">
        <f>SUMIFS(X$19:X$168, $E$19:$E$168,$E66,$C$19:$C$168,"1000")+SUMIFS(X$19:X$168, $E$19:$E$168,$E66,$C$19:$C$168,"2000")+SUMIFS(X$19:X$168, $E$19:$E$168,$E66,$C$19:$C$168,"3000")+SUMIFS(X$19:X$168, $E$19:$E$168,$E66,$C$19:$C$168,"4000")+SUMIFS(X$19:X$168, $E$19:$E$168,$E66,$C$19:$C$168,"5000")</f>
        <v>32056224.15984403</v>
      </c>
      <c r="Y66" s="247">
        <f>VLOOKUP($H66,'Cost Drivers'!$A$2:$R$66,10,FALSE)</f>
        <v>25128</v>
      </c>
      <c r="Z66" s="248">
        <f>X66/Y66</f>
        <v>1275.7172938492531</v>
      </c>
      <c r="AA66" s="246">
        <f>SUMIFS(AA$19:AA$168, $E$19:$E$168,$E66,$C$19:$C$168,"1000")+SUMIFS(AA$19:AA$168, $E$19:$E$168,$E66,$C$19:$C$168,"2000")+SUMIFS(AA$19:AA$168, $E$19:$E$168,$E66,$C$19:$C$168,"3000")+SUMIFS(AA$19:AA$168, $E$19:$E$168,$E66,$C$19:$C$168,"4000")+SUMIFS(AA$19:AA$168, $E$19:$E$168,$E66,$C$19:$C$168,"5000")</f>
        <v>33268163.559581958</v>
      </c>
      <c r="AB66" s="247">
        <f>VLOOKUP($H66,'Cost Drivers'!$A$2:$R$66,12,FALSE)</f>
        <v>26294</v>
      </c>
      <c r="AC66" s="248">
        <f>AA66/AB66</f>
        <v>1265.237832189167</v>
      </c>
      <c r="AD66" s="246">
        <f>SUMIFS(AD$19:AD$168, $E$19:$E$168,$E66,$C$19:$C$168,"1000")+SUMIFS(AD$19:AD$168, $E$19:$E$168,$E66,$C$19:$C$168,"2000")+SUMIFS(AD$19:AD$168, $E$19:$E$168,$E66,$C$19:$C$168,"3000")+SUMIFS(AD$19:AD$168, $E$19:$E$168,$E66,$C$19:$C$168,"4000")+SUMIFS(AD$19:AD$168, $E$19:$E$168,$E66,$C$19:$C$168,"5000")</f>
        <v>30360970.4362236</v>
      </c>
      <c r="AE66" s="247">
        <f>VLOOKUP($H66,'Cost Drivers'!$A$2:$R$66,14,FALSE)</f>
        <v>23184</v>
      </c>
      <c r="AF66" s="248">
        <f>AD66/AE66</f>
        <v>1309.565667538975</v>
      </c>
      <c r="AG66" s="246">
        <f>SUMIFS(AG$19:AG$168, $E$19:$E$168,$E66,$C$19:$C$168,"1000")+SUMIFS(AG$19:AG$168, $E$19:$E$168,$E66,$C$19:$C$168,"2000")+SUMIFS(AG$19:AG$168, $E$19:$E$168,$E66,$C$19:$C$168,"3000")+SUMIFS(AG$19:AG$168, $E$19:$E$168,$E66,$C$19:$C$168,"4000")+SUMIFS(AG$19:AG$168, $E$19:$E$168,$E66,$C$19:$C$168,"5000")</f>
        <v>32815958.329213548</v>
      </c>
      <c r="AH66" s="247">
        <f>VLOOKUP($H66,'Cost Drivers'!$A$2:$R$66,16,FALSE)</f>
        <v>25517</v>
      </c>
      <c r="AI66" s="248">
        <f>AG66/AH66</f>
        <v>1286.0429646593859</v>
      </c>
      <c r="AJ66" s="246">
        <f>SUMIFS(AJ$19:AJ$168, $E$19:$E$168,$E66,$C$19:$C$168,"1000")+SUMIFS(AJ$19:AJ$168, $E$19:$E$168,$E66,$C$19:$C$168,"2000")+SUMIFS(AJ$19:AJ$168, $E$19:$E$168,$E66,$C$19:$C$168,"3000")+SUMIFS(AJ$19:AJ$168, $E$19:$E$168,$E66,$C$19:$C$168,"4000")+SUMIFS(AJ$19:AJ$168, $E$19:$E$168,$E66,$C$19:$C$168,"5000")</f>
        <v>26728661.546440359</v>
      </c>
      <c r="AK66" s="247">
        <f>VLOOKUP($H66,'Cost Drivers'!$A$2:$R$66,18,FALSE)</f>
        <v>19296</v>
      </c>
      <c r="AL66" s="248">
        <f>AJ66/AK66</f>
        <v>1385.1918297284597</v>
      </c>
      <c r="AM66" s="246">
        <f>SUMIFS(AM$19:AM$168, $E$19:$E$168,$E66,$C$19:$C$168,"1000")+SUMIFS(AM$19:AM$168, $E$19:$E$168,$E66,$C$19:$C$168,"2000")+SUMIFS(AM$19:AM$168, $E$19:$E$168,$E66,$C$19:$C$168,"3000")+SUMIFS(AM$19:AM$168, $E$19:$E$168,$E66,$C$19:$C$168,"4000")+SUMIFS(AM$19:AM$168, $E$19:$E$168,$E66,$C$19:$C$168,"5000")</f>
        <v>33743842.603581801</v>
      </c>
      <c r="AN66" s="247">
        <f>VLOOKUP($H66,'Cost Drivers'!$A$3:$V$67,20,FALSE)</f>
        <v>27072</v>
      </c>
      <c r="AO66" s="248">
        <f>AM66/AN66</f>
        <v>1246.4480867162308</v>
      </c>
      <c r="AP66" s="246">
        <f>SUMIFS(AP$19:AP$168, $E$19:$E$168,$E66,$C$19:$C$168,"1000")+SUMIFS(AP$19:AP$168, $E$19:$E$168,$E66,$C$19:$C$168,"2000")+SUMIFS(AP$19:AP$168, $E$19:$E$168,$E66,$C$19:$C$168,"3000")+SUMIFS(AP$19:AP$168, $E$19:$E$168,$E66,$C$19:$C$168,"4000")+SUMIFS(AP$19:AP$168, $E$19:$E$168,$E66,$C$19:$C$168,"5000")</f>
        <v>33745106.384037502</v>
      </c>
      <c r="AQ66" s="247">
        <f>VLOOKUP($H66,'Cost Drivers'!$A$3:$V$67,22,FALSE)</f>
        <v>27072</v>
      </c>
      <c r="AR66" s="248">
        <f>AP66/AQ66</f>
        <v>1246.4947689139149</v>
      </c>
    </row>
    <row r="67" spans="2:44" outlineLevel="1" x14ac:dyDescent="0.25">
      <c r="B67" s="250" t="s">
        <v>228</v>
      </c>
      <c r="C67" s="251" t="s">
        <v>238</v>
      </c>
      <c r="D67" s="182">
        <f t="shared" si="3"/>
        <v>1000</v>
      </c>
      <c r="E67" s="252" t="s">
        <v>229</v>
      </c>
      <c r="F67" s="252" t="s">
        <v>234</v>
      </c>
      <c r="G67" s="253">
        <f>SUM(G68:G71)</f>
        <v>7078577.578333335</v>
      </c>
      <c r="H67" s="181" t="s">
        <v>270</v>
      </c>
      <c r="I67" s="254">
        <f>K67/G67</f>
        <v>0.31287762225643773</v>
      </c>
      <c r="J67" s="255">
        <f t="shared" si="86"/>
        <v>0.68712237774356222</v>
      </c>
      <c r="K67" s="256">
        <f>SUMIFS(K$19:K$168, $B$19:$B$168,$B67,$D$19:$D$168,$C67,$F$19:$F$168,"&lt;&gt;"&amp;$F67)</f>
        <v>2214728.521666667</v>
      </c>
      <c r="L67" s="257">
        <f t="shared" si="87"/>
        <v>4863849.0566666676</v>
      </c>
      <c r="M67" s="462">
        <f>VLOOKUP($H67,'Cost Drivers'!$A$2:$R$66,2,FALSE)</f>
        <v>27071.666666666668</v>
      </c>
      <c r="N67" s="258">
        <f t="shared" si="88"/>
        <v>179.66566730283816</v>
      </c>
      <c r="O67" s="256">
        <f>SUMIFS(O$19:O$168, $E$19:$E$168,$E67,$C$19:$C$168,"1100")+SUMIFS(O$19:O$168, $E$19:$E$168,$E67,$C$19:$C$168,"1200")+SUMIFS(O$19:O$168, $E$19:$E$168,$E67,$C$19:$C$168,"1300")+SUMIFS(O$19:O$168, $E$19:$E$168,$E67,$C$19:$C$168,"1400-1800")</f>
        <v>4870360.2334493538</v>
      </c>
      <c r="P67" s="480">
        <f>VLOOKUP($H67,'Cost Drivers'!$A$2:$R$66,4,FALSE)</f>
        <v>26877</v>
      </c>
      <c r="Q67" s="264">
        <f>O67/P67</f>
        <v>181.2092210235277</v>
      </c>
      <c r="R67" s="256">
        <f>SUMIFS(R$19:R$168, $E$19:$E$168,$E67,$C$19:$C$168,"1100")+SUMIFS(R$19:R$168, $E$19:$E$168,$E67,$C$19:$C$168,"1200")+SUMIFS(R$19:R$168, $E$19:$E$168,$E67,$C$19:$C$168,"1300")+SUMIFS(R$19:R$168, $E$19:$E$168,$E67,$C$19:$C$168,"1400-1800")</f>
        <v>4688047.2835341375</v>
      </c>
      <c r="S67" s="182">
        <f>VLOOKUP($H67,'Cost Drivers'!$A$2:$R$66,6,FALSE)</f>
        <v>26100</v>
      </c>
      <c r="T67" s="264">
        <f>R67/S67</f>
        <v>179.61866986720833</v>
      </c>
      <c r="U67" s="256">
        <f>SUMIFS(U$19:U$168, $E$19:$E$168,$E67,$C$19:$C$168,"1100")+SUMIFS(U$19:U$168, $E$19:$E$168,$E67,$C$19:$C$168,"1200")+SUMIFS(U$19:U$168, $E$19:$E$168,$E67,$C$19:$C$168,"1300")+SUMIFS(U$19:U$168, $E$19:$E$168,$E67,$C$19:$C$168,"1400-1800")</f>
        <v>4792764.9680667194</v>
      </c>
      <c r="V67" s="182">
        <f>VLOOKUP($H67,'Cost Drivers'!$A$2:$R$66,8,FALSE)</f>
        <v>26683</v>
      </c>
      <c r="W67" s="264">
        <f>U67/V67</f>
        <v>179.6186698672083</v>
      </c>
      <c r="X67" s="256">
        <f>SUMIFS(X$19:X$168, $E$19:$E$168,$E67,$C$19:$C$168,"1100")+SUMIFS(X$19:X$168, $E$19:$E$168,$E67,$C$19:$C$168,"1200")+SUMIFS(X$19:X$168, $E$19:$E$168,$E67,$C$19:$C$168,"1300")+SUMIFS(X$19:X$168, $E$19:$E$168,$E67,$C$19:$C$168,"1400-1800")</f>
        <v>4513457.9364232114</v>
      </c>
      <c r="Y67" s="182">
        <f>VLOOKUP($H67,'Cost Drivers'!$A$2:$R$66,10,FALSE)</f>
        <v>25128</v>
      </c>
      <c r="Z67" s="264">
        <f>X67/Y67</f>
        <v>179.61866986720835</v>
      </c>
      <c r="AA67" s="256">
        <f>SUMIFS(AA$19:AA$168, $E$19:$E$168,$E67,$C$19:$C$168,"1100")+SUMIFS(AA$19:AA$168, $E$19:$E$168,$E67,$C$19:$C$168,"1200")+SUMIFS(AA$19:AA$168, $E$19:$E$168,$E67,$C$19:$C$168,"1300")+SUMIFS(AA$19:AA$168, $E$19:$E$168,$E67,$C$19:$C$168,"1400-1800")</f>
        <v>4722893.3054883759</v>
      </c>
      <c r="AB67" s="182">
        <f>VLOOKUP($H67,'Cost Drivers'!$A$2:$R$66,12,FALSE)</f>
        <v>26294</v>
      </c>
      <c r="AC67" s="264">
        <f>AA67/AB67</f>
        <v>179.61866986720833</v>
      </c>
      <c r="AD67" s="256">
        <f>SUMIFS(AD$19:AD$168, $E$19:$E$168,$E67,$C$19:$C$168,"1100")+SUMIFS(AD$19:AD$168, $E$19:$E$168,$E67,$C$19:$C$168,"1200")+SUMIFS(AD$19:AD$168, $E$19:$E$168,$E67,$C$19:$C$168,"1300")+SUMIFS(AD$19:AD$168, $E$19:$E$168,$E67,$C$19:$C$168,"1400-1800")</f>
        <v>4164279.2422013581</v>
      </c>
      <c r="AE67" s="182">
        <f>VLOOKUP($H67,'Cost Drivers'!$A$2:$R$66,14,FALSE)</f>
        <v>23184</v>
      </c>
      <c r="AF67" s="264">
        <f>AD67/AE67</f>
        <v>179.61866986720833</v>
      </c>
      <c r="AG67" s="256">
        <f>SUMIFS(AG$19:AG$168, $E$19:$E$168,$E67,$C$19:$C$168,"1100")+SUMIFS(AG$19:AG$168, $E$19:$E$168,$E67,$C$19:$C$168,"1200")+SUMIFS(AG$19:AG$168, $E$19:$E$168,$E67,$C$19:$C$168,"1300")+SUMIFS(AG$19:AG$168, $E$19:$E$168,$E67,$C$19:$C$168,"1400-1800")</f>
        <v>4583329.5990015548</v>
      </c>
      <c r="AH67" s="182">
        <f>VLOOKUP($H67,'Cost Drivers'!$A$2:$R$66,16,FALSE)</f>
        <v>25517</v>
      </c>
      <c r="AI67" s="264">
        <f>AG67/AH67</f>
        <v>179.61866986720833</v>
      </c>
      <c r="AJ67" s="256">
        <f>SUMIFS(AJ$19:AJ$168, $E$19:$E$168,$E67,$C$19:$C$168,"1100")+SUMIFS(AJ$19:AJ$168, $E$19:$E$168,$E67,$C$19:$C$168,"1200")+SUMIFS(AJ$19:AJ$168, $E$19:$E$168,$E67,$C$19:$C$168,"1300")+SUMIFS(AJ$19:AJ$168, $E$19:$E$168,$E67,$C$19:$C$168,"1400-1800")</f>
        <v>3465921.8537576515</v>
      </c>
      <c r="AK67" s="182">
        <f>VLOOKUP($H67,'Cost Drivers'!$A$2:$R$66,18,FALSE)</f>
        <v>19296</v>
      </c>
      <c r="AL67" s="264">
        <f>AJ67/AK67</f>
        <v>179.6186698672083</v>
      </c>
      <c r="AM67" s="256">
        <f>SUMIFS(AM$19:AM$168, $E$19:$E$168,$E67,$C$19:$C$168,"1100")+SUMIFS(AM$19:AM$168, $E$19:$E$168,$E67,$C$19:$C$168,"1200")+SUMIFS(AM$19:AM$168, $E$19:$E$168,$E67,$C$19:$C$168,"1300")+SUMIFS(AM$19:AM$168, $E$19:$E$168,$E67,$C$19:$C$168,"1400-1800")</f>
        <v>4863849.0566666676</v>
      </c>
      <c r="AN67" s="182">
        <f>VLOOKUP($H67,'Cost Drivers'!$A$3:$V$67,20,FALSE)</f>
        <v>27072</v>
      </c>
      <c r="AO67" s="264">
        <f>AM67/AN67</f>
        <v>179.66345510736804</v>
      </c>
      <c r="AP67" s="256">
        <f>SUMIFS(AP$19:AP$168, $E$19:$E$168,$E67,$C$19:$C$168,"1100")+SUMIFS(AP$19:AP$168, $E$19:$E$168,$E67,$C$19:$C$168,"1200")+SUMIFS(AP$19:AP$168, $E$19:$E$168,$E67,$C$19:$C$168,"1300")+SUMIFS(AP$19:AP$168, $E$19:$E$168,$E67,$C$19:$C$168,"1400-1800")</f>
        <v>4863849.0566666676</v>
      </c>
      <c r="AQ67" s="182">
        <f>VLOOKUP($H67,'Cost Drivers'!$A$3:$V$67,22,FALSE)</f>
        <v>27072</v>
      </c>
      <c r="AR67" s="264">
        <f>AP67/AQ67</f>
        <v>179.66345510736804</v>
      </c>
    </row>
    <row r="68" spans="2:44" outlineLevel="1" x14ac:dyDescent="0.25">
      <c r="B68" s="260" t="s">
        <v>228</v>
      </c>
      <c r="C68" s="261" t="s">
        <v>239</v>
      </c>
      <c r="D68" s="182">
        <f t="shared" si="3"/>
        <v>1000</v>
      </c>
      <c r="E68" s="262" t="s">
        <v>229</v>
      </c>
      <c r="F68" s="262" t="s">
        <v>175</v>
      </c>
      <c r="G68" s="287">
        <v>3661262.893333334</v>
      </c>
      <c r="H68" s="180" t="s">
        <v>521</v>
      </c>
      <c r="I68" s="135">
        <v>0</v>
      </c>
      <c r="J68" s="255">
        <f t="shared" si="86"/>
        <v>1</v>
      </c>
      <c r="K68" s="263">
        <f>G68*I68</f>
        <v>0</v>
      </c>
      <c r="L68" s="257">
        <f t="shared" si="87"/>
        <v>3661262.893333334</v>
      </c>
      <c r="M68" s="462">
        <f>VLOOKUP($H68,'Cost Drivers'!$A$2:$R$66,2,FALSE)</f>
        <v>373.5</v>
      </c>
      <c r="N68" s="258">
        <f t="shared" si="88"/>
        <v>9802.5780276662226</v>
      </c>
      <c r="O68" s="187">
        <f>P68*Q68</f>
        <v>3666164.1823471673</v>
      </c>
      <c r="P68" s="480">
        <f>VLOOKUP($H68,'Cost Drivers'!$A$2:$R$66,4,FALSE)</f>
        <v>374</v>
      </c>
      <c r="Q68" s="264">
        <f>$N68</f>
        <v>9802.5780276662226</v>
      </c>
      <c r="R68" s="187">
        <f>S68*T68</f>
        <v>3528928.0899598403</v>
      </c>
      <c r="S68" s="182">
        <f>VLOOKUP($H68,'Cost Drivers'!$A$2:$R$66,6,FALSE)</f>
        <v>360</v>
      </c>
      <c r="T68" s="264">
        <f>$N68</f>
        <v>9802.5780276662226</v>
      </c>
      <c r="U68" s="187">
        <f>V68*W68</f>
        <v>3607754.338099556</v>
      </c>
      <c r="V68" s="182">
        <f>VLOOKUP($H68,'Cost Drivers'!$A$2:$R$66,8,FALSE)</f>
        <v>368.04137931034484</v>
      </c>
      <c r="W68" s="264">
        <f>$N68</f>
        <v>9802.5780276662226</v>
      </c>
      <c r="X68" s="187">
        <f>Y68*Z68</f>
        <v>3397505.9404027155</v>
      </c>
      <c r="Y68" s="182">
        <f>VLOOKUP($H68,'Cost Drivers'!$A$2:$R$66,10,FALSE)</f>
        <v>346.59310344827588</v>
      </c>
      <c r="Z68" s="264">
        <f>$N68</f>
        <v>9802.5780276662226</v>
      </c>
      <c r="AA68" s="187">
        <f>AB68*AC68</f>
        <v>3555158.436682147</v>
      </c>
      <c r="AB68" s="182">
        <f>VLOOKUP($H68,'Cost Drivers'!$A$2:$R$66,12,FALSE)</f>
        <v>362.6758620689655</v>
      </c>
      <c r="AC68" s="264">
        <f>$N68</f>
        <v>9802.5780276662226</v>
      </c>
      <c r="AD68" s="187">
        <f>AE68*AF68</f>
        <v>3134661.6412884649</v>
      </c>
      <c r="AE68" s="182">
        <f>VLOOKUP($H68,'Cost Drivers'!$A$2:$R$66,14,FALSE)</f>
        <v>319.77931034482759</v>
      </c>
      <c r="AF68" s="264">
        <f>$N68</f>
        <v>9802.5780276662226</v>
      </c>
      <c r="AG68" s="187">
        <f>AH68*AI68</f>
        <v>3450101.8418201241</v>
      </c>
      <c r="AH68" s="182">
        <f>VLOOKUP($H68,'Cost Drivers'!$A$2:$R$66,16,FALSE)</f>
        <v>351.95862068965516</v>
      </c>
      <c r="AI68" s="264">
        <f>$N68</f>
        <v>9802.5780276662226</v>
      </c>
      <c r="AJ68" s="187">
        <f>AK68*AL68</f>
        <v>2608973.0430599642</v>
      </c>
      <c r="AK68" s="182">
        <f>VLOOKUP($H68,'Cost Drivers'!$A$2:$R$66,18,FALSE)</f>
        <v>266.15172413793101</v>
      </c>
      <c r="AL68" s="264">
        <f>$N68</f>
        <v>9802.5780276662226</v>
      </c>
      <c r="AM68" s="187">
        <f>AN68*AO68</f>
        <v>3661262.893333334</v>
      </c>
      <c r="AN68" s="182">
        <f>VLOOKUP($H68,'Cost Drivers'!$A$3:$V$67,20,FALSE)</f>
        <v>373.5</v>
      </c>
      <c r="AO68" s="264">
        <f>$N68</f>
        <v>9802.5780276662226</v>
      </c>
      <c r="AP68" s="187">
        <f>AQ68*AR68</f>
        <v>3661262.893333334</v>
      </c>
      <c r="AQ68" s="182">
        <f>VLOOKUP($H68,'Cost Drivers'!$A$3:$V$67,22,FALSE)</f>
        <v>373.5</v>
      </c>
      <c r="AR68" s="264">
        <f>$N68</f>
        <v>9802.5780276662226</v>
      </c>
    </row>
    <row r="69" spans="2:44" outlineLevel="1" x14ac:dyDescent="0.25">
      <c r="B69" s="260" t="s">
        <v>228</v>
      </c>
      <c r="C69" s="261" t="s">
        <v>240</v>
      </c>
      <c r="D69" s="182">
        <f t="shared" si="3"/>
        <v>1000</v>
      </c>
      <c r="E69" s="262" t="s">
        <v>229</v>
      </c>
      <c r="F69" s="262" t="s">
        <v>193</v>
      </c>
      <c r="G69" s="287">
        <v>1202586.1633333333</v>
      </c>
      <c r="H69" s="180" t="s">
        <v>521</v>
      </c>
      <c r="I69" s="135">
        <v>0</v>
      </c>
      <c r="J69" s="255">
        <f t="shared" si="86"/>
        <v>1</v>
      </c>
      <c r="K69" s="263">
        <f>G69*I69</f>
        <v>0</v>
      </c>
      <c r="L69" s="257">
        <f t="shared" si="87"/>
        <v>1202586.1633333333</v>
      </c>
      <c r="M69" s="462">
        <f>VLOOKUP($H69,'Cost Drivers'!$A$2:$R$66,2,FALSE)</f>
        <v>373.5</v>
      </c>
      <c r="N69" s="258">
        <f t="shared" si="88"/>
        <v>3219.7755377063809</v>
      </c>
      <c r="O69" s="187">
        <f>P69*Q69</f>
        <v>1204196.0511021866</v>
      </c>
      <c r="P69" s="480">
        <f>VLOOKUP($H69,'Cost Drivers'!$A$2:$R$66,4,FALSE)</f>
        <v>374</v>
      </c>
      <c r="Q69" s="264">
        <f>$N69</f>
        <v>3219.7755377063809</v>
      </c>
      <c r="R69" s="187">
        <f>S69*T69</f>
        <v>1159119.193574297</v>
      </c>
      <c r="S69" s="182">
        <f>VLOOKUP($H69,'Cost Drivers'!$A$2:$R$66,6,FALSE)</f>
        <v>360</v>
      </c>
      <c r="T69" s="264">
        <f>$N69</f>
        <v>3219.7755377063809</v>
      </c>
      <c r="U69" s="187">
        <f>V69*W69</f>
        <v>1185010.6299671635</v>
      </c>
      <c r="V69" s="182">
        <f>VLOOKUP($H69,'Cost Drivers'!$A$2:$R$66,8,FALSE)</f>
        <v>368.04137931034484</v>
      </c>
      <c r="W69" s="264">
        <f>$N69</f>
        <v>3219.7755377063809</v>
      </c>
      <c r="X69" s="187">
        <f>Y69*Z69</f>
        <v>1115951.9960204957</v>
      </c>
      <c r="Y69" s="182">
        <f>VLOOKUP($H69,'Cost Drivers'!$A$2:$R$66,10,FALSE)</f>
        <v>346.59310344827588</v>
      </c>
      <c r="Z69" s="264">
        <f>$N69</f>
        <v>3219.7755377063809</v>
      </c>
      <c r="AA69" s="187">
        <f>AB69*AC69</f>
        <v>1167734.8688062285</v>
      </c>
      <c r="AB69" s="182">
        <f>VLOOKUP($H69,'Cost Drivers'!$A$2:$R$66,12,FALSE)</f>
        <v>362.6758620689655</v>
      </c>
      <c r="AC69" s="264">
        <f>$N69</f>
        <v>3219.7755377063809</v>
      </c>
      <c r="AD69" s="187">
        <f>AE69*AF69</f>
        <v>1029617.600912893</v>
      </c>
      <c r="AE69" s="182">
        <f>VLOOKUP($H69,'Cost Drivers'!$A$2:$R$66,14,FALSE)</f>
        <v>319.77931034482759</v>
      </c>
      <c r="AF69" s="264">
        <f>$N69</f>
        <v>3219.7755377063809</v>
      </c>
      <c r="AG69" s="187">
        <f>AH69*AI69</f>
        <v>1133227.7571814307</v>
      </c>
      <c r="AH69" s="182">
        <f>VLOOKUP($H69,'Cost Drivers'!$A$2:$R$66,16,FALSE)</f>
        <v>351.95862068965516</v>
      </c>
      <c r="AI69" s="264">
        <f>$N69</f>
        <v>3219.7755377063809</v>
      </c>
      <c r="AJ69" s="187">
        <f>AK69*AL69</f>
        <v>856948.81069768721</v>
      </c>
      <c r="AK69" s="182">
        <f>VLOOKUP($H69,'Cost Drivers'!$A$2:$R$66,18,FALSE)</f>
        <v>266.15172413793101</v>
      </c>
      <c r="AL69" s="264">
        <f>$N69</f>
        <v>3219.7755377063809</v>
      </c>
      <c r="AM69" s="187">
        <f>AN69*AO69</f>
        <v>1202586.1633333333</v>
      </c>
      <c r="AN69" s="182">
        <f>VLOOKUP($H69,'Cost Drivers'!$A$3:$V$67,20,FALSE)</f>
        <v>373.5</v>
      </c>
      <c r="AO69" s="264">
        <f>$N69</f>
        <v>3219.7755377063809</v>
      </c>
      <c r="AP69" s="187">
        <f>AQ69*AR69</f>
        <v>1202586.1633333333</v>
      </c>
      <c r="AQ69" s="182">
        <f>VLOOKUP($H69,'Cost Drivers'!$A$3:$V$67,22,FALSE)</f>
        <v>373.5</v>
      </c>
      <c r="AR69" s="264">
        <f>$N69</f>
        <v>3219.7755377063809</v>
      </c>
    </row>
    <row r="70" spans="2:44" outlineLevel="1" x14ac:dyDescent="0.25">
      <c r="B70" s="260" t="s">
        <v>228</v>
      </c>
      <c r="C70" s="261" t="s">
        <v>241</v>
      </c>
      <c r="D70" s="182">
        <f t="shared" si="3"/>
        <v>1000</v>
      </c>
      <c r="E70" s="262" t="s">
        <v>229</v>
      </c>
      <c r="F70" s="262" t="s">
        <v>197</v>
      </c>
      <c r="G70" s="287">
        <v>37662.73333333333</v>
      </c>
      <c r="H70" s="180" t="s">
        <v>536</v>
      </c>
      <c r="I70" s="135">
        <v>1</v>
      </c>
      <c r="J70" s="255">
        <f t="shared" si="86"/>
        <v>0</v>
      </c>
      <c r="K70" s="263">
        <f>G70*I70</f>
        <v>37662.73333333333</v>
      </c>
      <c r="L70" s="257">
        <f t="shared" si="87"/>
        <v>0</v>
      </c>
      <c r="M70" s="462">
        <f>VLOOKUP($H70,'Cost Drivers'!$A$2:$R$66,2,FALSE)</f>
        <v>8137.833333333333</v>
      </c>
      <c r="N70" s="258">
        <f t="shared" si="88"/>
        <v>0</v>
      </c>
      <c r="O70" s="187">
        <f>P70*Q70</f>
        <v>0</v>
      </c>
      <c r="P70" s="480">
        <f>VLOOKUP($H70,'Cost Drivers'!$A$2:$R$66,4,FALSE)</f>
        <v>7898.8333333333339</v>
      </c>
      <c r="Q70" s="264">
        <f>$N70</f>
        <v>0</v>
      </c>
      <c r="R70" s="187">
        <f>S70*T70</f>
        <v>0</v>
      </c>
      <c r="S70" s="182">
        <f>VLOOKUP($H70,'Cost Drivers'!$A$2:$R$66,6,FALSE)</f>
        <v>7442</v>
      </c>
      <c r="T70" s="264">
        <f>$N70</f>
        <v>0</v>
      </c>
      <c r="U70" s="187">
        <f>V70*W70</f>
        <v>0</v>
      </c>
      <c r="V70" s="182">
        <f>VLOOKUP($H70,'Cost Drivers'!$A$2:$R$66,8,FALSE)</f>
        <v>7898.8333333333339</v>
      </c>
      <c r="W70" s="264">
        <f>$N70</f>
        <v>0</v>
      </c>
      <c r="X70" s="187">
        <f>Y70*Z70</f>
        <v>0</v>
      </c>
      <c r="Y70" s="182">
        <f>VLOOKUP($H70,'Cost Drivers'!$A$2:$R$66,10,FALSE)</f>
        <v>7254</v>
      </c>
      <c r="Z70" s="264">
        <f>$N70</f>
        <v>0</v>
      </c>
      <c r="AA70" s="187">
        <f>AB70*AC70</f>
        <v>0</v>
      </c>
      <c r="AB70" s="182">
        <f>VLOOKUP($H70,'Cost Drivers'!$A$2:$R$66,12,FALSE)</f>
        <v>7898.8333333333339</v>
      </c>
      <c r="AC70" s="264">
        <f>$N70</f>
        <v>0</v>
      </c>
      <c r="AD70" s="187">
        <f>AE70*AF70</f>
        <v>0</v>
      </c>
      <c r="AE70" s="182">
        <f>VLOOKUP($H70,'Cost Drivers'!$A$2:$R$66,14,FALSE)</f>
        <v>6878</v>
      </c>
      <c r="AF70" s="264">
        <f>$N70</f>
        <v>0</v>
      </c>
      <c r="AG70" s="187">
        <f>AH70*AI70</f>
        <v>0</v>
      </c>
      <c r="AH70" s="182">
        <f>VLOOKUP($H70,'Cost Drivers'!$A$2:$R$66,16,FALSE)</f>
        <v>7898.8333333333339</v>
      </c>
      <c r="AI70" s="264">
        <f>$N70</f>
        <v>0</v>
      </c>
      <c r="AJ70" s="187">
        <f>AK70*AL70</f>
        <v>0</v>
      </c>
      <c r="AK70" s="182">
        <f>VLOOKUP($H70,'Cost Drivers'!$A$2:$R$66,18,FALSE)</f>
        <v>6135</v>
      </c>
      <c r="AL70" s="264">
        <f>$N70</f>
        <v>0</v>
      </c>
      <c r="AM70" s="187">
        <f>AN70*AO70</f>
        <v>0</v>
      </c>
      <c r="AN70" s="182">
        <f>VLOOKUP($H70,'Cost Drivers'!$A$3:$V$67,20,FALSE)</f>
        <v>7898.8333333333339</v>
      </c>
      <c r="AO70" s="264">
        <f>$N70</f>
        <v>0</v>
      </c>
      <c r="AP70" s="187">
        <f>AQ70*AR70</f>
        <v>0</v>
      </c>
      <c r="AQ70" s="182">
        <f>VLOOKUP($H70,'Cost Drivers'!$A$3:$V$67,22,FALSE)</f>
        <v>7627</v>
      </c>
      <c r="AR70" s="264">
        <f>$N70</f>
        <v>0</v>
      </c>
    </row>
    <row r="71" spans="2:44" outlineLevel="1" x14ac:dyDescent="0.25">
      <c r="B71" s="260" t="s">
        <v>228</v>
      </c>
      <c r="C71" s="261" t="s">
        <v>232</v>
      </c>
      <c r="D71" s="182">
        <f t="shared" si="3"/>
        <v>1000</v>
      </c>
      <c r="E71" s="262" t="s">
        <v>229</v>
      </c>
      <c r="F71" s="262" t="s">
        <v>233</v>
      </c>
      <c r="G71" s="287">
        <v>2177065.7883333336</v>
      </c>
      <c r="H71" s="180" t="s">
        <v>531</v>
      </c>
      <c r="I71" s="135">
        <v>1</v>
      </c>
      <c r="J71" s="255">
        <f t="shared" si="86"/>
        <v>0</v>
      </c>
      <c r="K71" s="263">
        <f>G71*I71</f>
        <v>2177065.7883333336</v>
      </c>
      <c r="L71" s="257">
        <f t="shared" si="87"/>
        <v>0</v>
      </c>
      <c r="M71" s="462">
        <f>VLOOKUP($H71,'Cost Drivers'!$A$2:$R$66,2,FALSE)</f>
        <v>38938.833333333328</v>
      </c>
      <c r="N71" s="258">
        <f t="shared" si="88"/>
        <v>0</v>
      </c>
      <c r="O71" s="187">
        <f>P71*Q71</f>
        <v>0</v>
      </c>
      <c r="P71" s="480">
        <f>VLOOKUP($H71,'Cost Drivers'!$A$2:$R$66,4,FALSE)</f>
        <v>38490.166666666672</v>
      </c>
      <c r="Q71" s="264">
        <f>$N71</f>
        <v>0</v>
      </c>
      <c r="R71" s="187">
        <f>S71*T71</f>
        <v>0</v>
      </c>
      <c r="S71" s="182">
        <f>VLOOKUP($H71,'Cost Drivers'!$A$2:$R$66,6,FALSE)</f>
        <v>38876</v>
      </c>
      <c r="T71" s="264">
        <f>$N71</f>
        <v>0</v>
      </c>
      <c r="U71" s="187">
        <f>V71*W71</f>
        <v>0</v>
      </c>
      <c r="V71" s="182">
        <f>VLOOKUP($H71,'Cost Drivers'!$A$2:$R$66,8,FALSE)</f>
        <v>38490.166666666672</v>
      </c>
      <c r="W71" s="264">
        <f>$N71</f>
        <v>0</v>
      </c>
      <c r="X71" s="187">
        <f>Y71*Z71</f>
        <v>0</v>
      </c>
      <c r="Y71" s="182">
        <f>VLOOKUP($H71,'Cost Drivers'!$A$2:$R$66,10,FALSE)</f>
        <v>38876</v>
      </c>
      <c r="Z71" s="264">
        <f>$N71</f>
        <v>0</v>
      </c>
      <c r="AA71" s="187">
        <f>AB71*AC71</f>
        <v>0</v>
      </c>
      <c r="AB71" s="182">
        <f>VLOOKUP($H71,'Cost Drivers'!$A$2:$R$66,12,FALSE)</f>
        <v>38490.166666666672</v>
      </c>
      <c r="AC71" s="264">
        <f>$N71</f>
        <v>0</v>
      </c>
      <c r="AD71" s="187">
        <f>AE71*AF71</f>
        <v>0</v>
      </c>
      <c r="AE71" s="182">
        <f>VLOOKUP($H71,'Cost Drivers'!$A$2:$R$66,14,FALSE)</f>
        <v>38876</v>
      </c>
      <c r="AF71" s="264">
        <f>$N71</f>
        <v>0</v>
      </c>
      <c r="AG71" s="187">
        <f>AH71*AI71</f>
        <v>0</v>
      </c>
      <c r="AH71" s="182">
        <f>VLOOKUP($H71,'Cost Drivers'!$A$2:$R$66,16,FALSE)</f>
        <v>38490.166666666672</v>
      </c>
      <c r="AI71" s="264">
        <f>$N71</f>
        <v>0</v>
      </c>
      <c r="AJ71" s="187">
        <f>AK71*AL71</f>
        <v>0</v>
      </c>
      <c r="AK71" s="182">
        <f>VLOOKUP($H71,'Cost Drivers'!$A$2:$R$66,18,FALSE)</f>
        <v>38876</v>
      </c>
      <c r="AL71" s="264">
        <f>$N71</f>
        <v>0</v>
      </c>
      <c r="AM71" s="187">
        <f>AN71*AO71</f>
        <v>0</v>
      </c>
      <c r="AN71" s="182">
        <f>VLOOKUP($H71,'Cost Drivers'!$A$3:$V$67,20,FALSE)</f>
        <v>38490.166666666672</v>
      </c>
      <c r="AO71" s="264">
        <f>$N71</f>
        <v>0</v>
      </c>
      <c r="AP71" s="187">
        <f>AQ71*AR71</f>
        <v>0</v>
      </c>
      <c r="AQ71" s="182">
        <f>VLOOKUP($H71,'Cost Drivers'!$A$3:$V$67,22,FALSE)</f>
        <v>38876</v>
      </c>
      <c r="AR71" s="264">
        <f>$N71</f>
        <v>0</v>
      </c>
    </row>
    <row r="72" spans="2:44" outlineLevel="1" x14ac:dyDescent="0.25">
      <c r="B72" s="250" t="s">
        <v>228</v>
      </c>
      <c r="C72" s="251" t="s">
        <v>242</v>
      </c>
      <c r="D72" s="182">
        <f t="shared" si="3"/>
        <v>2000</v>
      </c>
      <c r="E72" s="252" t="s">
        <v>229</v>
      </c>
      <c r="F72" s="252" t="s">
        <v>237</v>
      </c>
      <c r="G72" s="253">
        <f>SUM(G73:G81)</f>
        <v>27742852.864999998</v>
      </c>
      <c r="H72" s="181" t="s">
        <v>270</v>
      </c>
      <c r="I72" s="254">
        <f>K72/G72</f>
        <v>1.0727054614083334E-2</v>
      </c>
      <c r="J72" s="255">
        <f t="shared" si="86"/>
        <v>0.9892729453859167</v>
      </c>
      <c r="K72" s="256">
        <f>SUMIFS(K$19:K$168, $B$19:$B$168,$B72,$D$19:$D$168,$C72,$F$19:$F$168,"&lt;&gt;"&amp;$F72)</f>
        <v>297599.0978333333</v>
      </c>
      <c r="L72" s="257">
        <f t="shared" si="87"/>
        <v>27445253.767166667</v>
      </c>
      <c r="M72" s="462">
        <f>VLOOKUP($H72,'Cost Drivers'!$A$2:$R$66,2,FALSE)</f>
        <v>27071.666666666668</v>
      </c>
      <c r="N72" s="258">
        <f t="shared" si="88"/>
        <v>1013.7999298343901</v>
      </c>
      <c r="O72" s="256">
        <f>SUMIFS(O$19:O$168, $E$19:$E$168,$E72,$C$19:$C$168,"2100")+SUMIFS(O$19:O$168, $E$19:$E$168,$E72,$C$19:$C$168,"2200")+SUMIFS(O$19:O$168, $E$19:$E$168,$E72,$C$19:$C$168,"2300")+SUMIFS(O$19:O$168, $E$19:$E$168,$E72,$C$19:$C$168,"2400")+SUMIFS(O$19:O$168, $E$19:$E$168,$E72,$C$19:$C$168,"2500")+SUMIFS(O$19:O$168, $E$19:$E$168,$E72,$C$19:$C$168,"2600")+SUMIFS(O$19:O$168, $E$19:$E$168,$E72,$C$19:$C$168,"2700")+SUMIFS(O$19:O$168, $E$19:$E$168,$E72,$C$19:$C$168,"2800")+SUMIFS(O$19:O$168, $E$19:$E$168,$E72,$C$19:$C$168,"2900")</f>
        <v>27480793.98457244</v>
      </c>
      <c r="P72" s="480">
        <f>VLOOKUP($H72,'Cost Drivers'!$A$2:$R$66,4,FALSE)</f>
        <v>26877</v>
      </c>
      <c r="Q72" s="264">
        <f>O72/P72</f>
        <v>1022.4650810943349</v>
      </c>
      <c r="R72" s="256">
        <f>SUMIFS(R$19:R$168, $E$19:$E$168,$E72,$C$19:$C$168,"2100")+SUMIFS(R$19:R$168, $E$19:$E$168,$E72,$C$19:$C$168,"2200")+SUMIFS(R$19:R$168, $E$19:$E$168,$E72,$C$19:$C$168,"2300")+SUMIFS(R$19:R$168, $E$19:$E$168,$E72,$C$19:$C$168,"2400")+SUMIFS(R$19:R$168, $E$19:$E$168,$E72,$C$19:$C$168,"2500")+SUMIFS(R$19:R$168, $E$19:$E$168,$E72,$C$19:$C$168,"2600")+SUMIFS(R$19:R$168, $E$19:$E$168,$E72,$C$19:$C$168,"2700")+SUMIFS(R$19:R$168, $E$19:$E$168,$E72,$C$19:$C$168,"2800")+SUMIFS(R$19:R$168, $E$19:$E$168,$E72,$C$19:$C$168,"2900")</f>
        <v>26791403.096121639</v>
      </c>
      <c r="S72" s="182">
        <f>VLOOKUP($H72,'Cost Drivers'!$A$2:$R$66,6,FALSE)</f>
        <v>26100</v>
      </c>
      <c r="T72" s="264">
        <f>R72/S72</f>
        <v>1026.4905400812888</v>
      </c>
      <c r="U72" s="256">
        <f>SUMIFS(U$19:U$168, $E$19:$E$168,$E72,$C$19:$C$168,"2100")+SUMIFS(U$19:U$168, $E$19:$E$168,$E72,$C$19:$C$168,"2200")+SUMIFS(U$19:U$168, $E$19:$E$168,$E72,$C$19:$C$168,"2300")+SUMIFS(U$19:U$168, $E$19:$E$168,$E72,$C$19:$C$168,"2400")+SUMIFS(U$19:U$168, $E$19:$E$168,$E72,$C$19:$C$168,"2500")+SUMIFS(U$19:U$168, $E$19:$E$168,$E72,$C$19:$C$168,"2600")+SUMIFS(U$19:U$168, $E$19:$E$168,$E72,$C$19:$C$168,"2700")+SUMIFS(U$19:U$168, $E$19:$E$168,$E72,$C$19:$C$168,"2800")+SUMIFS(U$19:U$168, $E$19:$E$168,$E72,$C$19:$C$168,"2900")</f>
        <v>27327128.407075092</v>
      </c>
      <c r="V72" s="182">
        <f>VLOOKUP($H72,'Cost Drivers'!$A$2:$R$66,8,FALSE)</f>
        <v>26683</v>
      </c>
      <c r="W72" s="264">
        <f>U72/V72</f>
        <v>1024.1400294972489</v>
      </c>
      <c r="X72" s="256">
        <f>SUMIFS(X$19:X$168, $E$19:$E$168,$E72,$C$19:$C$168,"2100")+SUMIFS(X$19:X$168, $E$19:$E$168,$E72,$C$19:$C$168,"2200")+SUMIFS(X$19:X$168, $E$19:$E$168,$E72,$C$19:$C$168,"2300")+SUMIFS(X$19:X$168, $E$19:$E$168,$E72,$C$19:$C$168,"2400")+SUMIFS(X$19:X$168, $E$19:$E$168,$E72,$C$19:$C$168,"2500")+SUMIFS(X$19:X$168, $E$19:$E$168,$E72,$C$19:$C$168,"2600")+SUMIFS(X$19:X$168, $E$19:$E$168,$E72,$C$19:$C$168,"2700")+SUMIFS(X$19:X$168, $E$19:$E$168,$E72,$C$19:$C$168,"2800")+SUMIFS(X$19:X$168, $E$19:$E$168,$E72,$C$19:$C$168,"2900")</f>
        <v>26131666.97157618</v>
      </c>
      <c r="Y72" s="182">
        <f>VLOOKUP($H72,'Cost Drivers'!$A$2:$R$66,10,FALSE)</f>
        <v>25128</v>
      </c>
      <c r="Z72" s="264">
        <f>X72/Y72</f>
        <v>1039.9421749274188</v>
      </c>
      <c r="AA72" s="256">
        <f>SUMIFS(AA$19:AA$168, $E$19:$E$168,$E72,$C$19:$C$168,"2100")+SUMIFS(AA$19:AA$168, $E$19:$E$168,$E72,$C$19:$C$168,"2200")+SUMIFS(AA$19:AA$168, $E$19:$E$168,$E72,$C$19:$C$168,"2300")+SUMIFS(AA$19:AA$168, $E$19:$E$168,$E72,$C$19:$C$168,"2400")+SUMIFS(AA$19:AA$168, $E$19:$E$168,$E72,$C$19:$C$168,"2500")+SUMIFS(AA$19:AA$168, $E$19:$E$168,$E72,$C$19:$C$168,"2600")+SUMIFS(AA$19:AA$168, $E$19:$E$168,$E72,$C$19:$C$168,"2700")+SUMIFS(AA$19:AA$168, $E$19:$E$168,$E72,$C$19:$C$168,"2800")+SUMIFS(AA$19:AA$168, $E$19:$E$168,$E72,$C$19:$C$168,"2900")</f>
        <v>27130162.380059715</v>
      </c>
      <c r="AB72" s="182">
        <f>VLOOKUP($H72,'Cost Drivers'!$A$2:$R$66,12,FALSE)</f>
        <v>26294</v>
      </c>
      <c r="AC72" s="264">
        <f>AA72/AB72</f>
        <v>1031.8005012573103</v>
      </c>
      <c r="AD72" s="256">
        <f>SUMIFS(AD$19:AD$168, $E$19:$E$168,$E72,$C$19:$C$168,"2100")+SUMIFS(AD$19:AD$168, $E$19:$E$168,$E72,$C$19:$C$168,"2200")+SUMIFS(AD$19:AD$168, $E$19:$E$168,$E72,$C$19:$C$168,"2300")+SUMIFS(AD$19:AD$168, $E$19:$E$168,$E72,$C$19:$C$168,"2400")+SUMIFS(AD$19:AD$168, $E$19:$E$168,$E72,$C$19:$C$168,"2500")+SUMIFS(AD$19:AD$168, $E$19:$E$168,$E72,$C$19:$C$168,"2600")+SUMIFS(AD$19:AD$168, $E$19:$E$168,$E72,$C$19:$C$168,"2700")+SUMIFS(AD$19:AD$168, $E$19:$E$168,$E72,$C$19:$C$168,"2800")+SUMIFS(AD$19:AD$168, $E$19:$E$168,$E72,$C$19:$C$168,"2900")</f>
        <v>24939465.386345953</v>
      </c>
      <c r="AE72" s="182">
        <f>VLOOKUP($H72,'Cost Drivers'!$A$2:$R$66,14,FALSE)</f>
        <v>23184</v>
      </c>
      <c r="AF72" s="264">
        <f>AD72/AE72</f>
        <v>1075.7188313641284</v>
      </c>
      <c r="AG72" s="256">
        <f>SUMIFS(AG$19:AG$168, $E$19:$E$168,$E72,$C$19:$C$168,"2100")+SUMIFS(AG$19:AG$168, $E$19:$E$168,$E72,$C$19:$C$168,"2200")+SUMIFS(AG$19:AG$168, $E$19:$E$168,$E72,$C$19:$C$168,"2300")+SUMIFS(AG$19:AG$168, $E$19:$E$168,$E72,$C$19:$C$168,"2400")+SUMIFS(AG$19:AG$168, $E$19:$E$168,$E72,$C$19:$C$168,"2500")+SUMIFS(AG$19:AG$168, $E$19:$E$168,$E72,$C$19:$C$168,"2600")+SUMIFS(AG$19:AG$168, $E$19:$E$168,$E72,$C$19:$C$168,"2700")+SUMIFS(AG$19:AG$168, $E$19:$E$168,$E72,$C$19:$C$168,"2800")+SUMIFS(AG$19:AG$168, $E$19:$E$168,$E72,$C$19:$C$168,"2900")</f>
        <v>26820192.124995477</v>
      </c>
      <c r="AH72" s="182">
        <f>VLOOKUP($H72,'Cost Drivers'!$A$2:$R$66,16,FALSE)</f>
        <v>25517</v>
      </c>
      <c r="AI72" s="264">
        <f>AG72/AH72</f>
        <v>1051.0715258453374</v>
      </c>
      <c r="AJ72" s="256">
        <f>SUMIFS(AJ$19:AJ$168, $E$19:$E$168,$E72,$C$19:$C$168,"2100")+SUMIFS(AJ$19:AJ$168, $E$19:$E$168,$E72,$C$19:$C$168,"2200")+SUMIFS(AJ$19:AJ$168, $E$19:$E$168,$E72,$C$19:$C$168,"2300")+SUMIFS(AJ$19:AJ$168, $E$19:$E$168,$E72,$C$19:$C$168,"2400")+SUMIFS(AJ$19:AJ$168, $E$19:$E$168,$E72,$C$19:$C$168,"2500")+SUMIFS(AJ$19:AJ$168, $E$19:$E$168,$E72,$C$19:$C$168,"2600")+SUMIFS(AJ$19:AJ$168, $E$19:$E$168,$E72,$C$19:$C$168,"2700")+SUMIFS(AJ$19:AJ$168, $E$19:$E$168,$E72,$C$19:$C$168,"2800")+SUMIFS(AJ$19:AJ$168, $E$19:$E$168,$E72,$C$19:$C$168,"2900")</f>
        <v>22166070.658107758</v>
      </c>
      <c r="AK72" s="182">
        <f>VLOOKUP($H72,'Cost Drivers'!$A$2:$R$66,18,FALSE)</f>
        <v>19296</v>
      </c>
      <c r="AL72" s="264">
        <f>AJ72/AK72</f>
        <v>1148.739151021339</v>
      </c>
      <c r="AM72" s="256">
        <f>SUMIFS(AM$19:AM$168, $E$19:$E$168,$E72,$C$19:$C$168,"2100")+SUMIFS(AM$19:AM$168, $E$19:$E$168,$E72,$C$19:$C$168,"2200")+SUMIFS(AM$19:AM$168, $E$19:$E$168,$E72,$C$19:$C$168,"2300")+SUMIFS(AM$19:AM$168, $E$19:$E$168,$E72,$C$19:$C$168,"2400")+SUMIFS(AM$19:AM$168, $E$19:$E$168,$E72,$C$19:$C$168,"2500")+SUMIFS(AM$19:AM$168, $E$19:$E$168,$E72,$C$19:$C$168,"2600")+SUMIFS(AM$19:AM$168, $E$19:$E$168,$E72,$C$19:$C$168,"2700")+SUMIFS(AM$19:AM$168, $E$19:$E$168,$E72,$C$19:$C$168,"2800")+SUMIFS(AM$19:AM$168, $E$19:$E$168,$E72,$C$19:$C$168,"2900")</f>
        <v>27443769.858581796</v>
      </c>
      <c r="AN72" s="182">
        <f>VLOOKUP($H72,'Cost Drivers'!$A$3:$V$67,20,FALSE)</f>
        <v>27072</v>
      </c>
      <c r="AO72" s="264">
        <f>AM72/AN72</f>
        <v>1013.7326336651078</v>
      </c>
      <c r="AP72" s="256">
        <f>SUMIFS(AP$19:AP$168, $E$19:$E$168,$E72,$C$19:$C$168,"2100")+SUMIFS(AP$19:AP$168, $E$19:$E$168,$E72,$C$19:$C$168,"2200")+SUMIFS(AP$19:AP$168, $E$19:$E$168,$E72,$C$19:$C$168,"2300")+SUMIFS(AP$19:AP$168, $E$19:$E$168,$E72,$C$19:$C$168,"2400")+SUMIFS(AP$19:AP$168, $E$19:$E$168,$E72,$C$19:$C$168,"2500")+SUMIFS(AP$19:AP$168, $E$19:$E$168,$E72,$C$19:$C$168,"2600")+SUMIFS(AP$19:AP$168, $E$19:$E$168,$E72,$C$19:$C$168,"2700")+SUMIFS(AP$19:AP$168, $E$19:$E$168,$E72,$C$19:$C$168,"2800")+SUMIFS(AP$19:AP$168, $E$19:$E$168,$E72,$C$19:$C$168,"2900")</f>
        <v>27445033.639037497</v>
      </c>
      <c r="AQ72" s="182">
        <f>VLOOKUP($H72,'Cost Drivers'!$A$3:$V$67,22,FALSE)</f>
        <v>27072</v>
      </c>
      <c r="AR72" s="264">
        <f>AP72/AQ72</f>
        <v>1013.7793158627917</v>
      </c>
    </row>
    <row r="73" spans="2:44" outlineLevel="1" x14ac:dyDescent="0.25">
      <c r="B73" s="260" t="s">
        <v>228</v>
      </c>
      <c r="C73" s="261" t="s">
        <v>243</v>
      </c>
      <c r="D73" s="182">
        <f t="shared" si="3"/>
        <v>2000</v>
      </c>
      <c r="E73" s="262" t="s">
        <v>229</v>
      </c>
      <c r="F73" s="262" t="s">
        <v>198</v>
      </c>
      <c r="G73" s="287">
        <v>2809756.6866666661</v>
      </c>
      <c r="H73" s="180" t="s">
        <v>517</v>
      </c>
      <c r="I73" s="150">
        <v>0</v>
      </c>
      <c r="J73" s="255">
        <f t="shared" si="86"/>
        <v>1</v>
      </c>
      <c r="K73" s="263">
        <f t="shared" ref="K73:K81" si="99">G73*I73</f>
        <v>0</v>
      </c>
      <c r="L73" s="257">
        <f t="shared" si="87"/>
        <v>2809756.6866666661</v>
      </c>
      <c r="M73" s="462">
        <f>VLOOKUP($H73,'Cost Drivers'!$A$2:$R$66,2,FALSE)</f>
        <v>1389.2633333333333</v>
      </c>
      <c r="N73" s="258">
        <f t="shared" si="88"/>
        <v>2022.4795539122649</v>
      </c>
      <c r="O73" s="187">
        <f t="shared" ref="O73:O81" si="100">P73*Q73</f>
        <v>2799299.7248549475</v>
      </c>
      <c r="P73" s="480">
        <f>VLOOKUP($H73,'Cost Drivers'!$A$2:$R$66,4,FALSE)</f>
        <v>1384.0929662008248</v>
      </c>
      <c r="Q73" s="264">
        <f>$N73</f>
        <v>2022.4795539122649</v>
      </c>
      <c r="R73" s="187">
        <f t="shared" ref="R73:R81" si="101">S73*T73</f>
        <v>2708045.899275105</v>
      </c>
      <c r="S73" s="182">
        <f>VLOOKUP($H73,'Cost Drivers'!$A$2:$R$66,6,FALSE)</f>
        <v>1338.9731896358048</v>
      </c>
      <c r="T73" s="264">
        <f>$N73</f>
        <v>2022.4795539122649</v>
      </c>
      <c r="U73" s="187">
        <f t="shared" ref="U73:U81" si="102">V73*W73</f>
        <v>2767486.4470222015</v>
      </c>
      <c r="V73" s="182">
        <f>VLOOKUP($H73,'Cost Drivers'!$A$2:$R$66,8,FALSE)</f>
        <v>1368.3631271667505</v>
      </c>
      <c r="W73" s="264">
        <f>$N73</f>
        <v>2022.4795539122649</v>
      </c>
      <c r="X73" s="187">
        <f t="shared" ref="X73:X81" si="103">Y73*Z73</f>
        <v>2604226.3716533254</v>
      </c>
      <c r="Y73" s="182">
        <f>VLOOKUP($H73,'Cost Drivers'!$A$2:$R$66,10,FALSE)</f>
        <v>1287.6403949872993</v>
      </c>
      <c r="Z73" s="264">
        <f>$N73</f>
        <v>2022.4795539122649</v>
      </c>
      <c r="AA73" s="187">
        <f t="shared" ref="AA73:AA81" si="104">AB73*AC73</f>
        <v>2725129.9467014289</v>
      </c>
      <c r="AB73" s="182">
        <f>VLOOKUP($H73,'Cost Drivers'!$A$2:$R$66,12,FALSE)</f>
        <v>1347.4202700491899</v>
      </c>
      <c r="AC73" s="264">
        <f>$N73</f>
        <v>2022.4795539122649</v>
      </c>
      <c r="AD73" s="187">
        <f t="shared" ref="AD73:AD81" si="105">AE73*AF73</f>
        <v>2404677.2346254145</v>
      </c>
      <c r="AE73" s="182">
        <f>VLOOKUP($H73,'Cost Drivers'!$A$2:$R$66,14,FALSE)</f>
        <v>1188.9748056902874</v>
      </c>
      <c r="AF73" s="264">
        <f>$N73</f>
        <v>2022.4795539122649</v>
      </c>
      <c r="AG73" s="187">
        <f t="shared" ref="AG73:AG81" si="106">AH73*AI73</f>
        <v>2644560.3924201853</v>
      </c>
      <c r="AH73" s="182">
        <f>VLOOKUP($H73,'Cost Drivers'!$A$2:$R$66,16,FALSE)</f>
        <v>1307.5832521048596</v>
      </c>
      <c r="AI73" s="264">
        <f>$N73</f>
        <v>2022.4795539122649</v>
      </c>
      <c r="AJ73" s="187">
        <f t="shared" ref="AJ73:AJ81" si="107">AK73*AL73</f>
        <v>2001534.0014617678</v>
      </c>
      <c r="AK73" s="182">
        <f>VLOOKUP($H73,'Cost Drivers'!$A$2:$R$66,18,FALSE)</f>
        <v>989.64362709626403</v>
      </c>
      <c r="AL73" s="264">
        <f>$N73</f>
        <v>2022.4795539122649</v>
      </c>
      <c r="AM73" s="187">
        <f t="shared" ref="AM73:AM81" si="108">AN73*AO73</f>
        <v>2809756.6866666661</v>
      </c>
      <c r="AN73" s="182">
        <f>VLOOKUP($H73,'Cost Drivers'!$A$3:$V$67,20,FALSE)</f>
        <v>1389.2633333333333</v>
      </c>
      <c r="AO73" s="264">
        <f>$N73</f>
        <v>2022.4795539122649</v>
      </c>
      <c r="AP73" s="187">
        <f t="shared" ref="AP73:AP81" si="109">AQ73*AR73</f>
        <v>2809756.6866666661</v>
      </c>
      <c r="AQ73" s="182">
        <f>VLOOKUP($H73,'Cost Drivers'!$A$3:$V$67,22,FALSE)</f>
        <v>1389.2633333333333</v>
      </c>
      <c r="AR73" s="264">
        <f>$N73</f>
        <v>2022.4795539122649</v>
      </c>
    </row>
    <row r="74" spans="2:44" outlineLevel="1" x14ac:dyDescent="0.25">
      <c r="B74" s="260" t="s">
        <v>228</v>
      </c>
      <c r="C74" s="261" t="s">
        <v>244</v>
      </c>
      <c r="D74" s="182">
        <f t="shared" si="3"/>
        <v>2000</v>
      </c>
      <c r="E74" s="262" t="s">
        <v>229</v>
      </c>
      <c r="F74" s="262" t="s">
        <v>199</v>
      </c>
      <c r="G74" s="287">
        <v>1567143.8766666669</v>
      </c>
      <c r="H74" s="180" t="s">
        <v>517</v>
      </c>
      <c r="I74" s="150">
        <v>0</v>
      </c>
      <c r="J74" s="255">
        <f t="shared" si="86"/>
        <v>1</v>
      </c>
      <c r="K74" s="263">
        <f t="shared" si="99"/>
        <v>0</v>
      </c>
      <c r="L74" s="257">
        <f t="shared" si="87"/>
        <v>1567143.8766666669</v>
      </c>
      <c r="M74" s="462">
        <f>VLOOKUP($H74,'Cost Drivers'!$A$2:$R$66,2,FALSE)</f>
        <v>1389.2633333333333</v>
      </c>
      <c r="N74" s="258">
        <f t="shared" si="88"/>
        <v>1128.039471758414</v>
      </c>
      <c r="O74" s="187">
        <f t="shared" si="100"/>
        <v>1561311.4984577147</v>
      </c>
      <c r="P74" s="480">
        <f>VLOOKUP($H74,'Cost Drivers'!$A$2:$R$66,4,FALSE)</f>
        <v>1384.0929662008248</v>
      </c>
      <c r="Q74" s="264">
        <f t="shared" ref="Q74:Q81" si="110">$N74</f>
        <v>1128.039471758414</v>
      </c>
      <c r="R74" s="187">
        <f t="shared" si="101"/>
        <v>1510414.609535452</v>
      </c>
      <c r="S74" s="182">
        <f>VLOOKUP($H74,'Cost Drivers'!$A$2:$R$66,6,FALSE)</f>
        <v>1338.9731896358048</v>
      </c>
      <c r="T74" s="264">
        <f t="shared" ref="T74:T81" si="111">$N74</f>
        <v>1128.039471758414</v>
      </c>
      <c r="U74" s="187">
        <f t="shared" si="102"/>
        <v>1543567.6191428727</v>
      </c>
      <c r="V74" s="182">
        <f>VLOOKUP($H74,'Cost Drivers'!$A$2:$R$66,8,FALSE)</f>
        <v>1368.3631271667505</v>
      </c>
      <c r="W74" s="264">
        <f t="shared" ref="W74:W81" si="112">$N74</f>
        <v>1128.039471758414</v>
      </c>
      <c r="X74" s="187">
        <f t="shared" si="103"/>
        <v>1452509.1909762686</v>
      </c>
      <c r="Y74" s="182">
        <f>VLOOKUP($H74,'Cost Drivers'!$A$2:$R$66,10,FALSE)</f>
        <v>1287.6403949872993</v>
      </c>
      <c r="Z74" s="264">
        <f t="shared" ref="Z74:Z81" si="113">$N74</f>
        <v>1128.039471758414</v>
      </c>
      <c r="AA74" s="187">
        <f t="shared" si="104"/>
        <v>1519943.2496628677</v>
      </c>
      <c r="AB74" s="182">
        <f>VLOOKUP($H74,'Cost Drivers'!$A$2:$R$66,12,FALSE)</f>
        <v>1347.4202700491899</v>
      </c>
      <c r="AC74" s="264">
        <f t="shared" ref="AC74:AC81" si="114">$N74</f>
        <v>1128.039471758414</v>
      </c>
      <c r="AD74" s="187">
        <f t="shared" si="105"/>
        <v>1341210.5117449348</v>
      </c>
      <c r="AE74" s="182">
        <f>VLOOKUP($H74,'Cost Drivers'!$A$2:$R$66,14,FALSE)</f>
        <v>1188.9748056902874</v>
      </c>
      <c r="AF74" s="264">
        <f t="shared" ref="AF74:AF81" si="115">$N74</f>
        <v>1128.039471758414</v>
      </c>
      <c r="AG74" s="187">
        <f t="shared" si="106"/>
        <v>1475005.5209845151</v>
      </c>
      <c r="AH74" s="182">
        <f>VLOOKUP($H74,'Cost Drivers'!$A$2:$R$66,16,FALSE)</f>
        <v>1307.5832521048596</v>
      </c>
      <c r="AI74" s="264">
        <f t="shared" ref="AI74:AI81" si="116">$N74</f>
        <v>1128.039471758414</v>
      </c>
      <c r="AJ74" s="187">
        <f t="shared" si="107"/>
        <v>1116357.0743387504</v>
      </c>
      <c r="AK74" s="182">
        <f>VLOOKUP($H74,'Cost Drivers'!$A$2:$R$66,18,FALSE)</f>
        <v>989.64362709626403</v>
      </c>
      <c r="AL74" s="264">
        <f t="shared" ref="AL74:AL81" si="117">$N74</f>
        <v>1128.039471758414</v>
      </c>
      <c r="AM74" s="187">
        <f t="shared" si="108"/>
        <v>1567143.8766666667</v>
      </c>
      <c r="AN74" s="182">
        <f>VLOOKUP($H74,'Cost Drivers'!$A$3:$V$67,20,FALSE)</f>
        <v>1389.2633333333333</v>
      </c>
      <c r="AO74" s="264">
        <f t="shared" ref="AO74:AO81" si="118">$N74</f>
        <v>1128.039471758414</v>
      </c>
      <c r="AP74" s="187">
        <f t="shared" si="109"/>
        <v>1567143.8766666667</v>
      </c>
      <c r="AQ74" s="182">
        <f>VLOOKUP($H74,'Cost Drivers'!$A$3:$V$67,22,FALSE)</f>
        <v>1389.2633333333333</v>
      </c>
      <c r="AR74" s="264">
        <f t="shared" ref="AR74:AR81" si="119">$N74</f>
        <v>1128.039471758414</v>
      </c>
    </row>
    <row r="75" spans="2:44" outlineLevel="1" x14ac:dyDescent="0.25">
      <c r="B75" s="260" t="s">
        <v>228</v>
      </c>
      <c r="C75" s="261" t="s">
        <v>245</v>
      </c>
      <c r="D75" s="182">
        <f t="shared" si="3"/>
        <v>2000</v>
      </c>
      <c r="E75" s="262" t="s">
        <v>229</v>
      </c>
      <c r="F75" s="262" t="s">
        <v>200</v>
      </c>
      <c r="G75" s="287">
        <v>3474485.9683333333</v>
      </c>
      <c r="H75" s="180" t="s">
        <v>522</v>
      </c>
      <c r="I75" s="150">
        <v>0</v>
      </c>
      <c r="J75" s="255">
        <f t="shared" si="86"/>
        <v>1</v>
      </c>
      <c r="K75" s="263">
        <f t="shared" si="99"/>
        <v>0</v>
      </c>
      <c r="L75" s="257">
        <f t="shared" si="87"/>
        <v>3474485.9683333333</v>
      </c>
      <c r="M75" s="462">
        <f>VLOOKUP($H75,'Cost Drivers'!$A$2:$R$66,2,FALSE)</f>
        <v>64.916666666666671</v>
      </c>
      <c r="N75" s="258">
        <f t="shared" si="88"/>
        <v>53522.248549422329</v>
      </c>
      <c r="O75" s="187">
        <f t="shared" si="100"/>
        <v>3478946.1557124513</v>
      </c>
      <c r="P75" s="480">
        <f>VLOOKUP($H75,'Cost Drivers'!$A$2:$R$66,4,FALSE)</f>
        <v>65</v>
      </c>
      <c r="Q75" s="264">
        <f t="shared" si="110"/>
        <v>53522.248549422329</v>
      </c>
      <c r="R75" s="187">
        <f t="shared" si="101"/>
        <v>3378371.6435649432</v>
      </c>
      <c r="S75" s="182">
        <f>VLOOKUP($H75,'Cost Drivers'!$A$2:$R$66,6,FALSE)</f>
        <v>63.120884027235185</v>
      </c>
      <c r="T75" s="264">
        <f t="shared" si="111"/>
        <v>53522.248549422329</v>
      </c>
      <c r="U75" s="187">
        <f t="shared" si="102"/>
        <v>3453834.8875572174</v>
      </c>
      <c r="V75" s="182">
        <f>VLOOKUP($H75,'Cost Drivers'!$A$2:$R$66,8,FALSE)</f>
        <v>64.530825612977637</v>
      </c>
      <c r="W75" s="264">
        <f t="shared" si="112"/>
        <v>53522.248549422329</v>
      </c>
      <c r="X75" s="187">
        <f t="shared" si="103"/>
        <v>3252556.4237356284</v>
      </c>
      <c r="Y75" s="182">
        <f>VLOOKUP($H75,'Cost Drivers'!$A$2:$R$66,10,FALSE)</f>
        <v>60.77017524277263</v>
      </c>
      <c r="Z75" s="264">
        <f t="shared" si="113"/>
        <v>53522.248549422329</v>
      </c>
      <c r="AA75" s="187">
        <f t="shared" si="104"/>
        <v>3403482.9117201767</v>
      </c>
      <c r="AB75" s="182">
        <f>VLOOKUP($H75,'Cost Drivers'!$A$2:$R$66,12,FALSE)</f>
        <v>63.590058414257541</v>
      </c>
      <c r="AC75" s="264">
        <f t="shared" si="114"/>
        <v>53522.248549422329</v>
      </c>
      <c r="AD75" s="187">
        <f t="shared" si="105"/>
        <v>3000925.9840769982</v>
      </c>
      <c r="AE75" s="182">
        <f>VLOOKUP($H75,'Cost Drivers'!$A$2:$R$66,14,FALSE)</f>
        <v>56.068757673847529</v>
      </c>
      <c r="AF75" s="264">
        <f t="shared" si="115"/>
        <v>53522.248549422329</v>
      </c>
      <c r="AG75" s="187">
        <f t="shared" si="106"/>
        <v>3302908.3995726691</v>
      </c>
      <c r="AH75" s="182">
        <f>VLOOKUP($H75,'Cost Drivers'!$A$2:$R$66,16,FALSE)</f>
        <v>61.710942441492726</v>
      </c>
      <c r="AI75" s="264">
        <f t="shared" si="116"/>
        <v>53522.248549422329</v>
      </c>
      <c r="AJ75" s="187">
        <f t="shared" si="107"/>
        <v>2497665.1047597374</v>
      </c>
      <c r="AK75" s="182">
        <f>VLOOKUP($H75,'Cost Drivers'!$A$2:$R$66,18,FALSE)</f>
        <v>46.665922535997325</v>
      </c>
      <c r="AL75" s="264">
        <f t="shared" si="117"/>
        <v>53522.248549422329</v>
      </c>
      <c r="AM75" s="187">
        <f t="shared" si="108"/>
        <v>3474485.9683333333</v>
      </c>
      <c r="AN75" s="182">
        <f>VLOOKUP($H75,'Cost Drivers'!$A$3:$V$67,20,FALSE)</f>
        <v>64.916666666666671</v>
      </c>
      <c r="AO75" s="264">
        <f t="shared" si="118"/>
        <v>53522.248549422329</v>
      </c>
      <c r="AP75" s="187">
        <f t="shared" si="109"/>
        <v>3474485.9683333333</v>
      </c>
      <c r="AQ75" s="182">
        <f>VLOOKUP($H75,'Cost Drivers'!$A$3:$V$67,22,FALSE)</f>
        <v>64.916666666666671</v>
      </c>
      <c r="AR75" s="264">
        <f t="shared" si="119"/>
        <v>53522.248549422329</v>
      </c>
    </row>
    <row r="76" spans="2:44" outlineLevel="1" x14ac:dyDescent="0.25">
      <c r="B76" s="260" t="s">
        <v>228</v>
      </c>
      <c r="C76" s="261" t="s">
        <v>246</v>
      </c>
      <c r="D76" s="182">
        <f t="shared" si="3"/>
        <v>2000</v>
      </c>
      <c r="E76" s="262" t="s">
        <v>229</v>
      </c>
      <c r="F76" s="262" t="s">
        <v>201</v>
      </c>
      <c r="G76" s="287">
        <v>2473116.48</v>
      </c>
      <c r="H76" s="180" t="s">
        <v>518</v>
      </c>
      <c r="I76" s="150">
        <v>0</v>
      </c>
      <c r="J76" s="255">
        <f t="shared" si="86"/>
        <v>1</v>
      </c>
      <c r="K76" s="263">
        <f t="shared" si="99"/>
        <v>0</v>
      </c>
      <c r="L76" s="257">
        <f t="shared" si="87"/>
        <v>2473116.48</v>
      </c>
      <c r="M76" s="462">
        <f>VLOOKUP($H76,'Cost Drivers'!$A$2:$R$66,2,FALSE)</f>
        <v>63.93</v>
      </c>
      <c r="N76" s="258">
        <f t="shared" si="88"/>
        <v>38684.75645236978</v>
      </c>
      <c r="O76" s="187">
        <f t="shared" si="100"/>
        <v>2475824.4129516659</v>
      </c>
      <c r="P76" s="480">
        <f>VLOOKUP($H76,'Cost Drivers'!$A$2:$R$66,4,FALSE)</f>
        <v>64</v>
      </c>
      <c r="Q76" s="264">
        <f t="shared" si="110"/>
        <v>38684.75645236978</v>
      </c>
      <c r="R76" s="187">
        <f t="shared" si="101"/>
        <v>2321085.387142187</v>
      </c>
      <c r="S76" s="182">
        <f>VLOOKUP($H76,'Cost Drivers'!$A$2:$R$66,6,FALSE)</f>
        <v>60</v>
      </c>
      <c r="T76" s="264">
        <f t="shared" si="111"/>
        <v>38684.75645236978</v>
      </c>
      <c r="U76" s="187">
        <f t="shared" si="102"/>
        <v>2398454.9000469265</v>
      </c>
      <c r="V76" s="182">
        <f>VLOOKUP($H76,'Cost Drivers'!$A$2:$R$66,8,FALSE)</f>
        <v>62</v>
      </c>
      <c r="W76" s="264">
        <f t="shared" si="112"/>
        <v>38684.75645236978</v>
      </c>
      <c r="X76" s="187">
        <f t="shared" si="103"/>
        <v>2243715.874237447</v>
      </c>
      <c r="Y76" s="182">
        <f>VLOOKUP($H76,'Cost Drivers'!$A$2:$R$66,10,FALSE)</f>
        <v>58</v>
      </c>
      <c r="Z76" s="264">
        <f t="shared" si="113"/>
        <v>38684.75645236978</v>
      </c>
      <c r="AA76" s="187">
        <f t="shared" si="104"/>
        <v>2321085.387142187</v>
      </c>
      <c r="AB76" s="182">
        <f>VLOOKUP($H76,'Cost Drivers'!$A$2:$R$66,12,FALSE)</f>
        <v>60</v>
      </c>
      <c r="AC76" s="264">
        <f t="shared" si="114"/>
        <v>38684.75645236978</v>
      </c>
      <c r="AD76" s="187">
        <f t="shared" si="105"/>
        <v>2088976.8484279681</v>
      </c>
      <c r="AE76" s="182">
        <f>VLOOKUP($H76,'Cost Drivers'!$A$2:$R$66,14,FALSE)</f>
        <v>54</v>
      </c>
      <c r="AF76" s="264">
        <f t="shared" si="115"/>
        <v>38684.75645236978</v>
      </c>
      <c r="AG76" s="187">
        <f t="shared" si="106"/>
        <v>2243715.874237447</v>
      </c>
      <c r="AH76" s="182">
        <f>VLOOKUP($H76,'Cost Drivers'!$A$2:$R$66,16,FALSE)</f>
        <v>58</v>
      </c>
      <c r="AI76" s="264">
        <f t="shared" si="116"/>
        <v>38684.75645236978</v>
      </c>
      <c r="AJ76" s="187">
        <f t="shared" si="107"/>
        <v>1740814.04035664</v>
      </c>
      <c r="AK76" s="182">
        <f>VLOOKUP($H76,'Cost Drivers'!$A$2:$R$66,18,FALSE)</f>
        <v>45</v>
      </c>
      <c r="AL76" s="264">
        <f t="shared" si="117"/>
        <v>38684.75645236978</v>
      </c>
      <c r="AM76" s="187">
        <f t="shared" si="108"/>
        <v>2473116.48</v>
      </c>
      <c r="AN76" s="182">
        <f>VLOOKUP($H76,'Cost Drivers'!$A$3:$V$67,20,FALSE)</f>
        <v>63.93</v>
      </c>
      <c r="AO76" s="264">
        <f t="shared" si="118"/>
        <v>38684.75645236978</v>
      </c>
      <c r="AP76" s="187">
        <f t="shared" si="109"/>
        <v>2473116.48</v>
      </c>
      <c r="AQ76" s="182">
        <f>VLOOKUP($H76,'Cost Drivers'!$A$3:$V$67,22,FALSE)</f>
        <v>63.93</v>
      </c>
      <c r="AR76" s="264">
        <f t="shared" si="119"/>
        <v>38684.75645236978</v>
      </c>
    </row>
    <row r="77" spans="2:44" outlineLevel="1" x14ac:dyDescent="0.25">
      <c r="B77" s="260" t="s">
        <v>228</v>
      </c>
      <c r="C77" s="261" t="s">
        <v>247</v>
      </c>
      <c r="D77" s="182">
        <f t="shared" si="3"/>
        <v>2000</v>
      </c>
      <c r="E77" s="262" t="s">
        <v>229</v>
      </c>
      <c r="F77" s="262" t="s">
        <v>202</v>
      </c>
      <c r="G77" s="287">
        <v>425141.5683333333</v>
      </c>
      <c r="H77" s="180" t="s">
        <v>531</v>
      </c>
      <c r="I77" s="150">
        <v>0.7</v>
      </c>
      <c r="J77" s="255">
        <f t="shared" si="86"/>
        <v>0.30000000000000004</v>
      </c>
      <c r="K77" s="263">
        <f t="shared" si="99"/>
        <v>297599.0978333333</v>
      </c>
      <c r="L77" s="257">
        <f t="shared" si="87"/>
        <v>127542.47050000001</v>
      </c>
      <c r="M77" s="462">
        <f>VLOOKUP($H77,'Cost Drivers'!$A$2:$R$66,2,FALSE)</f>
        <v>38938.833333333328</v>
      </c>
      <c r="N77" s="258">
        <f t="shared" si="88"/>
        <v>3.2754569046324797</v>
      </c>
      <c r="O77" s="187">
        <f t="shared" si="100"/>
        <v>126072.88216878826</v>
      </c>
      <c r="P77" s="480">
        <f>VLOOKUP($H77,'Cost Drivers'!$A$2:$R$66,4,FALSE)</f>
        <v>38490.166666666672</v>
      </c>
      <c r="Q77" s="264">
        <f t="shared" si="110"/>
        <v>3.2754569046324797</v>
      </c>
      <c r="R77" s="187">
        <f t="shared" si="101"/>
        <v>127336.66262449228</v>
      </c>
      <c r="S77" s="182">
        <f>VLOOKUP($H77,'Cost Drivers'!$A$2:$R$66,6,FALSE)</f>
        <v>38876</v>
      </c>
      <c r="T77" s="264">
        <f t="shared" si="111"/>
        <v>3.2754569046324797</v>
      </c>
      <c r="U77" s="187">
        <f t="shared" si="102"/>
        <v>126072.88216878826</v>
      </c>
      <c r="V77" s="182">
        <f>VLOOKUP($H77,'Cost Drivers'!$A$2:$R$66,8,FALSE)</f>
        <v>38490.166666666672</v>
      </c>
      <c r="W77" s="264">
        <f t="shared" si="112"/>
        <v>3.2754569046324797</v>
      </c>
      <c r="X77" s="187">
        <f t="shared" si="103"/>
        <v>127336.66262449228</v>
      </c>
      <c r="Y77" s="182">
        <f>VLOOKUP($H77,'Cost Drivers'!$A$2:$R$66,10,FALSE)</f>
        <v>38876</v>
      </c>
      <c r="Z77" s="264">
        <f t="shared" si="113"/>
        <v>3.2754569046324797</v>
      </c>
      <c r="AA77" s="187">
        <f t="shared" si="104"/>
        <v>126072.88216878826</v>
      </c>
      <c r="AB77" s="182">
        <f>VLOOKUP($H77,'Cost Drivers'!$A$2:$R$66,12,FALSE)</f>
        <v>38490.166666666672</v>
      </c>
      <c r="AC77" s="264">
        <f t="shared" si="114"/>
        <v>3.2754569046324797</v>
      </c>
      <c r="AD77" s="187">
        <f t="shared" si="105"/>
        <v>127336.66262449228</v>
      </c>
      <c r="AE77" s="182">
        <f>VLOOKUP($H77,'Cost Drivers'!$A$2:$R$66,14,FALSE)</f>
        <v>38876</v>
      </c>
      <c r="AF77" s="264">
        <f t="shared" si="115"/>
        <v>3.2754569046324797</v>
      </c>
      <c r="AG77" s="187">
        <f t="shared" si="106"/>
        <v>126072.88216878826</v>
      </c>
      <c r="AH77" s="182">
        <f>VLOOKUP($H77,'Cost Drivers'!$A$2:$R$66,16,FALSE)</f>
        <v>38490.166666666672</v>
      </c>
      <c r="AI77" s="264">
        <f t="shared" si="116"/>
        <v>3.2754569046324797</v>
      </c>
      <c r="AJ77" s="187">
        <f t="shared" si="107"/>
        <v>127336.66262449228</v>
      </c>
      <c r="AK77" s="182">
        <f>VLOOKUP($H77,'Cost Drivers'!$A$2:$R$66,18,FALSE)</f>
        <v>38876</v>
      </c>
      <c r="AL77" s="264">
        <f t="shared" si="117"/>
        <v>3.2754569046324797</v>
      </c>
      <c r="AM77" s="187">
        <f t="shared" si="108"/>
        <v>126072.88216878826</v>
      </c>
      <c r="AN77" s="182">
        <f>VLOOKUP($H77,'Cost Drivers'!$A$3:$V$67,20,FALSE)</f>
        <v>38490.166666666672</v>
      </c>
      <c r="AO77" s="264">
        <f t="shared" si="118"/>
        <v>3.2754569046324797</v>
      </c>
      <c r="AP77" s="187">
        <f t="shared" si="109"/>
        <v>127336.66262449228</v>
      </c>
      <c r="AQ77" s="182">
        <f>VLOOKUP($H77,'Cost Drivers'!$A$3:$V$67,22,FALSE)</f>
        <v>38876</v>
      </c>
      <c r="AR77" s="264">
        <f t="shared" si="119"/>
        <v>3.2754569046324797</v>
      </c>
    </row>
    <row r="78" spans="2:44" outlineLevel="1" x14ac:dyDescent="0.25">
      <c r="B78" s="260" t="s">
        <v>228</v>
      </c>
      <c r="C78" s="261" t="s">
        <v>248</v>
      </c>
      <c r="D78" s="182">
        <f t="shared" si="3"/>
        <v>2000</v>
      </c>
      <c r="E78" s="262" t="s">
        <v>229</v>
      </c>
      <c r="F78" s="262" t="s">
        <v>203</v>
      </c>
      <c r="G78" s="287">
        <v>13425780.483333332</v>
      </c>
      <c r="H78" s="180" t="s">
        <v>313</v>
      </c>
      <c r="I78" s="150">
        <v>0</v>
      </c>
      <c r="J78" s="255">
        <f t="shared" si="86"/>
        <v>1</v>
      </c>
      <c r="K78" s="263">
        <f t="shared" si="99"/>
        <v>0</v>
      </c>
      <c r="L78" s="257">
        <f t="shared" si="87"/>
        <v>13425780.483333332</v>
      </c>
      <c r="M78" s="462">
        <f>VLOOKUP($H78,'Cost Drivers'!$A$2:$R$66,2,FALSE)</f>
        <v>46.8333333333334</v>
      </c>
      <c r="N78" s="258">
        <f t="shared" si="88"/>
        <v>286671.46939501737</v>
      </c>
      <c r="O78" s="187">
        <f t="shared" si="100"/>
        <v>13473559.061565816</v>
      </c>
      <c r="P78" s="480">
        <f>VLOOKUP($H78,'Cost Drivers'!$A$2:$R$66,4,FALSE)</f>
        <v>47</v>
      </c>
      <c r="Q78" s="264">
        <f t="shared" si="110"/>
        <v>286671.46939501737</v>
      </c>
      <c r="R78" s="187">
        <f t="shared" si="101"/>
        <v>13186887.592170799</v>
      </c>
      <c r="S78" s="182">
        <f>VLOOKUP($H78,'Cost Drivers'!$A$2:$R$66,6,FALSE)</f>
        <v>46</v>
      </c>
      <c r="T78" s="264">
        <f t="shared" si="111"/>
        <v>286671.46939501737</v>
      </c>
      <c r="U78" s="187">
        <f t="shared" si="102"/>
        <v>13473559.061565816</v>
      </c>
      <c r="V78" s="182">
        <f>VLOOKUP($H78,'Cost Drivers'!$A$2:$R$66,8,FALSE)</f>
        <v>47</v>
      </c>
      <c r="W78" s="264">
        <f t="shared" si="112"/>
        <v>286671.46939501737</v>
      </c>
      <c r="X78" s="187">
        <f t="shared" si="103"/>
        <v>12900216.122775782</v>
      </c>
      <c r="Y78" s="182">
        <f>VLOOKUP($H78,'Cost Drivers'!$A$2:$R$66,10,FALSE)</f>
        <v>45</v>
      </c>
      <c r="Z78" s="264">
        <f t="shared" si="113"/>
        <v>286671.46939501737</v>
      </c>
      <c r="AA78" s="187">
        <f t="shared" si="104"/>
        <v>13473559.061565816</v>
      </c>
      <c r="AB78" s="182">
        <f>VLOOKUP($H78,'Cost Drivers'!$A$2:$R$66,12,FALSE)</f>
        <v>47</v>
      </c>
      <c r="AC78" s="264">
        <f t="shared" si="114"/>
        <v>286671.46939501737</v>
      </c>
      <c r="AD78" s="187">
        <f t="shared" si="105"/>
        <v>12441541.771743756</v>
      </c>
      <c r="AE78" s="182">
        <f>VLOOKUP($H78,'Cost Drivers'!$A$2:$R$66,14,FALSE)</f>
        <v>43.400000000000006</v>
      </c>
      <c r="AF78" s="264">
        <f t="shared" si="115"/>
        <v>286671.46939501737</v>
      </c>
      <c r="AG78" s="187">
        <f t="shared" si="106"/>
        <v>13473559.061565816</v>
      </c>
      <c r="AH78" s="182">
        <f>VLOOKUP($H78,'Cost Drivers'!$A$2:$R$66,16,FALSE)</f>
        <v>47</v>
      </c>
      <c r="AI78" s="264">
        <f t="shared" si="116"/>
        <v>286671.46939501737</v>
      </c>
      <c r="AJ78" s="187">
        <f t="shared" si="107"/>
        <v>11180187.306405677</v>
      </c>
      <c r="AK78" s="182">
        <f>VLOOKUP($H78,'Cost Drivers'!$A$2:$R$66,18,FALSE)</f>
        <v>39</v>
      </c>
      <c r="AL78" s="264">
        <f t="shared" si="117"/>
        <v>286671.46939501737</v>
      </c>
      <c r="AM78" s="187">
        <f t="shared" si="108"/>
        <v>13425780.483333332</v>
      </c>
      <c r="AN78" s="182">
        <f>VLOOKUP($H78,'Cost Drivers'!$A$3:$V$67,20,FALSE)</f>
        <v>46.8333333333334</v>
      </c>
      <c r="AO78" s="264">
        <f t="shared" si="118"/>
        <v>286671.46939501737</v>
      </c>
      <c r="AP78" s="187">
        <f t="shared" si="109"/>
        <v>13425780.483333332</v>
      </c>
      <c r="AQ78" s="182">
        <f>VLOOKUP($H78,'Cost Drivers'!$A$3:$V$67,22,FALSE)</f>
        <v>46.8333333333334</v>
      </c>
      <c r="AR78" s="264">
        <f t="shared" si="119"/>
        <v>286671.46939501737</v>
      </c>
    </row>
    <row r="79" spans="2:44" outlineLevel="1" x14ac:dyDescent="0.25">
      <c r="B79" s="260" t="s">
        <v>228</v>
      </c>
      <c r="C79" s="261" t="s">
        <v>250</v>
      </c>
      <c r="D79" s="182">
        <f t="shared" si="3"/>
        <v>2000</v>
      </c>
      <c r="E79" s="262" t="s">
        <v>229</v>
      </c>
      <c r="F79" s="262" t="s">
        <v>204</v>
      </c>
      <c r="G79" s="287">
        <v>3340299.4083333332</v>
      </c>
      <c r="H79" s="180" t="s">
        <v>310</v>
      </c>
      <c r="I79" s="135">
        <v>0</v>
      </c>
      <c r="J79" s="255">
        <f t="shared" si="86"/>
        <v>1</v>
      </c>
      <c r="K79" s="263">
        <f t="shared" si="99"/>
        <v>0</v>
      </c>
      <c r="L79" s="257">
        <f t="shared" si="87"/>
        <v>3340299.4083333332</v>
      </c>
      <c r="M79" s="462">
        <f>VLOOKUP($H79,'Cost Drivers'!$A$2:$R$66,2,FALSE)</f>
        <v>38876.166666666672</v>
      </c>
      <c r="N79" s="258">
        <f t="shared" si="88"/>
        <v>85.921521969329959</v>
      </c>
      <c r="O79" s="187">
        <f t="shared" si="100"/>
        <v>3340285.0880796714</v>
      </c>
      <c r="P79" s="480">
        <f>VLOOKUP($H79,'Cost Drivers'!$A$2:$R$66,4,FALSE)</f>
        <v>38876</v>
      </c>
      <c r="Q79" s="264">
        <f t="shared" si="110"/>
        <v>85.921521969329959</v>
      </c>
      <c r="R79" s="187">
        <f t="shared" si="101"/>
        <v>3340285.0880796714</v>
      </c>
      <c r="S79" s="182">
        <f>VLOOKUP($H79,'Cost Drivers'!$A$2:$R$66,6,FALSE)</f>
        <v>38876</v>
      </c>
      <c r="T79" s="264">
        <f t="shared" si="111"/>
        <v>85.921521969329959</v>
      </c>
      <c r="U79" s="187">
        <f t="shared" si="102"/>
        <v>3340285.0880796714</v>
      </c>
      <c r="V79" s="182">
        <f>VLOOKUP($H79,'Cost Drivers'!$A$2:$R$66,8,FALSE)</f>
        <v>38876</v>
      </c>
      <c r="W79" s="264">
        <f t="shared" si="112"/>
        <v>85.921521969329959</v>
      </c>
      <c r="X79" s="187">
        <f t="shared" si="103"/>
        <v>3340285.0880796714</v>
      </c>
      <c r="Y79" s="182">
        <f>VLOOKUP($H79,'Cost Drivers'!$A$2:$R$66,10,FALSE)</f>
        <v>38876</v>
      </c>
      <c r="Z79" s="264">
        <f t="shared" si="113"/>
        <v>85.921521969329959</v>
      </c>
      <c r="AA79" s="187">
        <f t="shared" si="104"/>
        <v>3340285.0880796714</v>
      </c>
      <c r="AB79" s="182">
        <f>VLOOKUP($H79,'Cost Drivers'!$A$2:$R$66,12,FALSE)</f>
        <v>38876</v>
      </c>
      <c r="AC79" s="264">
        <f t="shared" si="114"/>
        <v>85.921521969329959</v>
      </c>
      <c r="AD79" s="187">
        <f t="shared" si="105"/>
        <v>3340285.0880796714</v>
      </c>
      <c r="AE79" s="182">
        <f>VLOOKUP($H79,'Cost Drivers'!$A$2:$R$66,14,FALSE)</f>
        <v>38876</v>
      </c>
      <c r="AF79" s="264">
        <f t="shared" si="115"/>
        <v>85.921521969329959</v>
      </c>
      <c r="AG79" s="187">
        <f t="shared" si="106"/>
        <v>3340285.0880796714</v>
      </c>
      <c r="AH79" s="182">
        <f>VLOOKUP($H79,'Cost Drivers'!$A$2:$R$66,16,FALSE)</f>
        <v>38876</v>
      </c>
      <c r="AI79" s="264">
        <f t="shared" si="116"/>
        <v>85.921521969329959</v>
      </c>
      <c r="AJ79" s="187">
        <f t="shared" si="107"/>
        <v>3340285.0880796714</v>
      </c>
      <c r="AK79" s="182">
        <f>VLOOKUP($H79,'Cost Drivers'!$A$2:$R$66,18,FALSE)</f>
        <v>38876</v>
      </c>
      <c r="AL79" s="264">
        <f t="shared" si="117"/>
        <v>85.921521969329959</v>
      </c>
      <c r="AM79" s="187">
        <f t="shared" si="108"/>
        <v>3340285.0880796714</v>
      </c>
      <c r="AN79" s="182">
        <f>VLOOKUP($H79,'Cost Drivers'!$A$3:$V$67,20,FALSE)</f>
        <v>38876</v>
      </c>
      <c r="AO79" s="264">
        <f t="shared" si="118"/>
        <v>85.921521969329959</v>
      </c>
      <c r="AP79" s="187">
        <f t="shared" si="109"/>
        <v>3340285.0880796714</v>
      </c>
      <c r="AQ79" s="182">
        <f>VLOOKUP($H79,'Cost Drivers'!$A$3:$V$67,22,FALSE)</f>
        <v>38876</v>
      </c>
      <c r="AR79" s="264">
        <f t="shared" si="119"/>
        <v>85.921521969329959</v>
      </c>
    </row>
    <row r="80" spans="2:44" outlineLevel="1" x14ac:dyDescent="0.25">
      <c r="B80" s="260" t="s">
        <v>228</v>
      </c>
      <c r="C80" s="261" t="s">
        <v>249</v>
      </c>
      <c r="D80" s="182">
        <f t="shared" si="3"/>
        <v>2000</v>
      </c>
      <c r="E80" s="262" t="s">
        <v>229</v>
      </c>
      <c r="F80" s="262" t="s">
        <v>205</v>
      </c>
      <c r="G80" s="287">
        <v>206586.86333333331</v>
      </c>
      <c r="H80" s="180" t="s">
        <v>524</v>
      </c>
      <c r="I80" s="150">
        <v>0</v>
      </c>
      <c r="J80" s="255">
        <f t="shared" si="86"/>
        <v>1</v>
      </c>
      <c r="K80" s="263">
        <f t="shared" si="99"/>
        <v>0</v>
      </c>
      <c r="L80" s="257">
        <f t="shared" si="87"/>
        <v>206586.86333333331</v>
      </c>
      <c r="M80" s="462">
        <f>VLOOKUP($H80,'Cost Drivers'!$A$2:$R$66,2,FALSE)</f>
        <v>57.083333333333336</v>
      </c>
      <c r="N80" s="258">
        <f t="shared" si="88"/>
        <v>3619.039941605839</v>
      </c>
      <c r="O80" s="187">
        <f t="shared" si="100"/>
        <v>205101.34060740005</v>
      </c>
      <c r="P80" s="480">
        <f>VLOOKUP($H80,'Cost Drivers'!$A$2:$R$66,4,FALSE)</f>
        <v>56.672859077756563</v>
      </c>
      <c r="Q80" s="264">
        <f t="shared" si="110"/>
        <v>3619.039941605839</v>
      </c>
      <c r="R80" s="187">
        <f t="shared" si="101"/>
        <v>199171.96822015633</v>
      </c>
      <c r="S80" s="182">
        <f>VLOOKUP($H80,'Cost Drivers'!$A$2:$R$66,6,FALSE)</f>
        <v>55.034476389829457</v>
      </c>
      <c r="T80" s="264">
        <f t="shared" si="111"/>
        <v>3619.039941605839</v>
      </c>
      <c r="U80" s="187">
        <f t="shared" si="102"/>
        <v>203620.90528806249</v>
      </c>
      <c r="V80" s="182">
        <f>VLOOKUP($H80,'Cost Drivers'!$A$2:$R$66,8,FALSE)</f>
        <v>56.263790555931777</v>
      </c>
      <c r="W80" s="264">
        <f t="shared" si="112"/>
        <v>3619.039941605839</v>
      </c>
      <c r="X80" s="187">
        <f t="shared" si="103"/>
        <v>191754.52940368155</v>
      </c>
      <c r="Y80" s="182">
        <f>VLOOKUP($H80,'Cost Drivers'!$A$2:$R$66,10,FALSE)</f>
        <v>52.984916579449603</v>
      </c>
      <c r="Z80" s="264">
        <f t="shared" si="113"/>
        <v>3619.039941605839</v>
      </c>
      <c r="AA80" s="187">
        <f t="shared" si="104"/>
        <v>200652.40353949388</v>
      </c>
      <c r="AB80" s="182">
        <f>VLOOKUP($H80,'Cost Drivers'!$A$2:$R$66,12,FALSE)</f>
        <v>55.443544911654243</v>
      </c>
      <c r="AC80" s="264">
        <f t="shared" si="114"/>
        <v>3619.039941605839</v>
      </c>
      <c r="AD80" s="187">
        <f t="shared" si="105"/>
        <v>176919.65177073196</v>
      </c>
      <c r="AE80" s="182">
        <f>VLOOKUP($H80,'Cost Drivers'!$A$2:$R$66,14,FALSE)</f>
        <v>48.885796958689888</v>
      </c>
      <c r="AF80" s="264">
        <f t="shared" si="115"/>
        <v>3619.039941605839</v>
      </c>
      <c r="AG80" s="187">
        <f t="shared" si="106"/>
        <v>194723.03115225013</v>
      </c>
      <c r="AH80" s="182">
        <f>VLOOKUP($H80,'Cost Drivers'!$A$2:$R$66,16,FALSE)</f>
        <v>53.80516222372713</v>
      </c>
      <c r="AI80" s="264">
        <f t="shared" si="116"/>
        <v>3619.039941605839</v>
      </c>
      <c r="AJ80" s="187">
        <f t="shared" si="107"/>
        <v>147249.89650483281</v>
      </c>
      <c r="AK80" s="182">
        <f>VLOOKUP($H80,'Cost Drivers'!$A$2:$R$66,18,FALSE)</f>
        <v>40.687557717170463</v>
      </c>
      <c r="AL80" s="264">
        <f t="shared" si="117"/>
        <v>3619.039941605839</v>
      </c>
      <c r="AM80" s="187">
        <f t="shared" si="108"/>
        <v>206586.86333333331</v>
      </c>
      <c r="AN80" s="182">
        <f>VLOOKUP($H80,'Cost Drivers'!$A$3:$V$67,20,FALSE)</f>
        <v>57.083333333333336</v>
      </c>
      <c r="AO80" s="264">
        <f t="shared" si="118"/>
        <v>3619.039941605839</v>
      </c>
      <c r="AP80" s="187">
        <f t="shared" si="109"/>
        <v>206586.86333333331</v>
      </c>
      <c r="AQ80" s="182">
        <f>VLOOKUP($H80,'Cost Drivers'!$A$3:$V$67,22,FALSE)</f>
        <v>57.083333333333336</v>
      </c>
      <c r="AR80" s="264">
        <f t="shared" si="119"/>
        <v>3619.039941605839</v>
      </c>
    </row>
    <row r="81" spans="2:44" outlineLevel="1" x14ac:dyDescent="0.25">
      <c r="B81" s="260" t="s">
        <v>228</v>
      </c>
      <c r="C81" s="261" t="s">
        <v>251</v>
      </c>
      <c r="D81" s="182">
        <f t="shared" si="3"/>
        <v>2000</v>
      </c>
      <c r="E81" s="262" t="s">
        <v>229</v>
      </c>
      <c r="F81" s="262" t="s">
        <v>206</v>
      </c>
      <c r="G81" s="287">
        <v>20541.53</v>
      </c>
      <c r="H81" s="180" t="s">
        <v>520</v>
      </c>
      <c r="I81" s="150">
        <v>0</v>
      </c>
      <c r="J81" s="255">
        <f t="shared" si="86"/>
        <v>1</v>
      </c>
      <c r="K81" s="263">
        <f t="shared" si="99"/>
        <v>0</v>
      </c>
      <c r="L81" s="257">
        <f t="shared" si="87"/>
        <v>20541.53</v>
      </c>
      <c r="M81" s="462">
        <f>VLOOKUP($H81,'Cost Drivers'!$A$2:$R$66,2,FALSE)</f>
        <v>822.33333333333337</v>
      </c>
      <c r="N81" s="258">
        <f t="shared" si="88"/>
        <v>24.979566274827725</v>
      </c>
      <c r="O81" s="187">
        <f t="shared" si="100"/>
        <v>20393.820173982636</v>
      </c>
      <c r="P81" s="480">
        <f>VLOOKUP($H81,'Cost Drivers'!$A$2:$R$66,4,FALSE)</f>
        <v>816.42010712306831</v>
      </c>
      <c r="Q81" s="264">
        <f t="shared" si="110"/>
        <v>24.979566274827725</v>
      </c>
      <c r="R81" s="187">
        <f t="shared" si="101"/>
        <v>19804.245508834571</v>
      </c>
      <c r="S81" s="182">
        <f>VLOOKUP($H81,'Cost Drivers'!$A$2:$R$66,6,FALSE)</f>
        <v>792.81782921874026</v>
      </c>
      <c r="T81" s="264">
        <f t="shared" si="111"/>
        <v>24.979566274827725</v>
      </c>
      <c r="U81" s="187">
        <f t="shared" si="102"/>
        <v>20246.616203533828</v>
      </c>
      <c r="V81" s="182">
        <f>VLOOKUP($H81,'Cost Drivers'!$A$2:$R$66,8,FALSE)</f>
        <v>810.52713168749608</v>
      </c>
      <c r="W81" s="264">
        <f t="shared" si="112"/>
        <v>24.979566274827725</v>
      </c>
      <c r="X81" s="187">
        <f t="shared" si="103"/>
        <v>19066.708089884873</v>
      </c>
      <c r="Y81" s="182">
        <f>VLOOKUP($H81,'Cost Drivers'!$A$2:$R$66,10,FALSE)</f>
        <v>763.29219971680106</v>
      </c>
      <c r="Z81" s="264">
        <f t="shared" si="113"/>
        <v>24.979566274827725</v>
      </c>
      <c r="AA81" s="187">
        <f t="shared" si="104"/>
        <v>19951.449479283383</v>
      </c>
      <c r="AB81" s="182">
        <f>VLOOKUP($H81,'Cost Drivers'!$A$2:$R$66,12,FALSE)</f>
        <v>798.7108046543126</v>
      </c>
      <c r="AC81" s="264">
        <f t="shared" si="114"/>
        <v>24.979566274827725</v>
      </c>
      <c r="AD81" s="187">
        <f t="shared" si="105"/>
        <v>17591.63325198547</v>
      </c>
      <c r="AE81" s="182">
        <f>VLOOKUP($H81,'Cost Drivers'!$A$2:$R$66,14,FALSE)</f>
        <v>704.24094071292245</v>
      </c>
      <c r="AF81" s="264">
        <f t="shared" si="115"/>
        <v>24.979566274827725</v>
      </c>
      <c r="AG81" s="187">
        <f t="shared" si="106"/>
        <v>19361.874814135317</v>
      </c>
      <c r="AH81" s="182">
        <f>VLOOKUP($H81,'Cost Drivers'!$A$2:$R$66,16,FALSE)</f>
        <v>775.10852674998455</v>
      </c>
      <c r="AI81" s="264">
        <f t="shared" si="116"/>
        <v>24.979566274827725</v>
      </c>
      <c r="AJ81" s="187">
        <f t="shared" si="107"/>
        <v>14641.483576186663</v>
      </c>
      <c r="AK81" s="182">
        <f>VLOOKUP($H81,'Cost Drivers'!$A$2:$R$66,18,FALSE)</f>
        <v>586.13842270516523</v>
      </c>
      <c r="AL81" s="264">
        <f t="shared" si="117"/>
        <v>24.979566274827725</v>
      </c>
      <c r="AM81" s="187">
        <f t="shared" si="108"/>
        <v>20541.53</v>
      </c>
      <c r="AN81" s="182">
        <f>VLOOKUP($H81,'Cost Drivers'!$A$3:$V$67,20,FALSE)</f>
        <v>822.33333333333337</v>
      </c>
      <c r="AO81" s="264">
        <f t="shared" si="118"/>
        <v>24.979566274827725</v>
      </c>
      <c r="AP81" s="187">
        <f t="shared" si="109"/>
        <v>20541.53</v>
      </c>
      <c r="AQ81" s="182">
        <f>VLOOKUP($H81,'Cost Drivers'!$A$3:$V$67,22,FALSE)</f>
        <v>822.33333333333337</v>
      </c>
      <c r="AR81" s="264">
        <f t="shared" si="119"/>
        <v>24.979566274827725</v>
      </c>
    </row>
    <row r="82" spans="2:44" ht="27" outlineLevel="1" x14ac:dyDescent="0.25">
      <c r="B82" s="250" t="s">
        <v>228</v>
      </c>
      <c r="C82" s="251" t="s">
        <v>252</v>
      </c>
      <c r="D82" s="182">
        <f t="shared" si="3"/>
        <v>3000</v>
      </c>
      <c r="E82" s="252" t="s">
        <v>229</v>
      </c>
      <c r="F82" s="252" t="s">
        <v>269</v>
      </c>
      <c r="G82" s="253">
        <f>SUM(G83:G88)</f>
        <v>2040965.5683333331</v>
      </c>
      <c r="H82" s="181" t="s">
        <v>270</v>
      </c>
      <c r="I82" s="254">
        <f>K82/G82</f>
        <v>0.1684398814302715</v>
      </c>
      <c r="J82" s="255">
        <f t="shared" si="86"/>
        <v>0.83156011856972856</v>
      </c>
      <c r="K82" s="256">
        <f>SUMIFS(K$19:K$168, $B$19:$B$168,$B82,$D$19:$D$168,$C82,$F$19:$F$168,"&lt;&gt;"&amp;$F82)</f>
        <v>343779.99833333329</v>
      </c>
      <c r="L82" s="257">
        <f t="shared" si="87"/>
        <v>1697185.5699999998</v>
      </c>
      <c r="M82" s="462">
        <f>VLOOKUP($H82,'Cost Drivers'!$A$2:$R$66,2,FALSE)</f>
        <v>27071.666666666668</v>
      </c>
      <c r="N82" s="258">
        <f t="shared" si="88"/>
        <v>62.692319275995807</v>
      </c>
      <c r="O82" s="256">
        <f>SUMIFS(O$19:O$168, $E$19:$E$168,$E82,$C$19:$C$168,"3100")+SUMIFS(O$19:O$168, $E$19:$E$168,$E82,$C$19:$C$168,"3200")+SUMIFS(O$19:O$168, $E$19:$E$168,$E82,$C$19:$C$168,"3300")+SUMIFS(O$19:O$168, $E$19:$E$168,$E82,$C$19:$C$168,"3400")</f>
        <v>1417112.1851284828</v>
      </c>
      <c r="P82" s="480">
        <f>VLOOKUP($H82,'Cost Drivers'!$A$2:$R$66,4,FALSE)</f>
        <v>26877</v>
      </c>
      <c r="Q82" s="264">
        <f>O82/P82</f>
        <v>52.725831942868723</v>
      </c>
      <c r="R82" s="256">
        <f>SUMIFS(R$19:R$168, $E$19:$E$168,$E82,$C$19:$C$168,"3100")+SUMIFS(R$19:R$168, $E$19:$E$168,$E82,$C$19:$C$168,"3200")+SUMIFS(R$19:R$168, $E$19:$E$168,$E82,$C$19:$C$168,"3300")+SUMIFS(R$19:R$168, $E$19:$E$168,$E82,$C$19:$C$168,"3400")</f>
        <v>1414440.9163111304</v>
      </c>
      <c r="S82" s="182">
        <f>VLOOKUP($H82,'Cost Drivers'!$A$2:$R$66,6,FALSE)</f>
        <v>26100</v>
      </c>
      <c r="T82" s="264">
        <f>R82/S82</f>
        <v>54.19313855598201</v>
      </c>
      <c r="U82" s="256">
        <f>SUMIFS(U$19:U$168, $E$19:$E$168,$E82,$C$19:$C$168,"3100")+SUMIFS(U$19:U$168, $E$19:$E$168,$E82,$C$19:$C$168,"3200")+SUMIFS(U$19:U$168, $E$19:$E$168,$E82,$C$19:$C$168,"3300")+SUMIFS(U$19:U$168, $E$19:$E$168,$E82,$C$19:$C$168,"3400")</f>
        <v>1416445.2274057462</v>
      </c>
      <c r="V82" s="182">
        <f>VLOOKUP($H82,'Cost Drivers'!$A$2:$R$66,8,FALSE)</f>
        <v>26683</v>
      </c>
      <c r="W82" s="264">
        <f>U82/V82</f>
        <v>53.084181966261148</v>
      </c>
      <c r="X82" s="256">
        <f>SUMIFS(X$19:X$168, $E$19:$E$168,$E82,$C$19:$C$168,"3100")+SUMIFS(X$19:X$168, $E$19:$E$168,$E82,$C$19:$C$168,"3200")+SUMIFS(X$19:X$168, $E$19:$E$168,$E82,$C$19:$C$168,"3300")+SUMIFS(X$19:X$168, $E$19:$E$168,$E82,$C$19:$C$168,"3400")</f>
        <v>1411099.2518446357</v>
      </c>
      <c r="Y82" s="182">
        <f>VLOOKUP($H82,'Cost Drivers'!$A$2:$R$66,10,FALSE)</f>
        <v>25128</v>
      </c>
      <c r="Z82" s="264">
        <f>X82/Y82</f>
        <v>56.156449054625746</v>
      </c>
      <c r="AA82" s="256">
        <f>SUMIFS(AA$19:AA$168, $E$19:$E$168,$E82,$C$19:$C$168,"3100")+SUMIFS(AA$19:AA$168, $E$19:$E$168,$E82,$C$19:$C$168,"3200")+SUMIFS(AA$19:AA$168, $E$19:$E$168,$E82,$C$19:$C$168,"3300")+SUMIFS(AA$19:AA$168, $E$19:$E$168,$E82,$C$19:$C$168,"3400")</f>
        <v>1415107.8740338671</v>
      </c>
      <c r="AB82" s="182">
        <f>VLOOKUP($H82,'Cost Drivers'!$A$2:$R$66,12,FALSE)</f>
        <v>26294</v>
      </c>
      <c r="AC82" s="264">
        <f>AA82/AB82</f>
        <v>53.818661064648481</v>
      </c>
      <c r="AD82" s="256">
        <f>SUMIFS(AD$19:AD$168, $E$19:$E$168,$E82,$C$19:$C$168,"3100")+SUMIFS(AD$19:AD$168, $E$19:$E$168,$E82,$C$19:$C$168,"3200")+SUMIFS(AD$19:AD$168, $E$19:$E$168,$E82,$C$19:$C$168,"3300")+SUMIFS(AD$19:AD$168, $E$19:$E$168,$E82,$C$19:$C$168,"3400")</f>
        <v>1257225.8076762888</v>
      </c>
      <c r="AE82" s="182">
        <f>VLOOKUP($H82,'Cost Drivers'!$A$2:$R$66,14,FALSE)</f>
        <v>23184</v>
      </c>
      <c r="AF82" s="264">
        <f>AD82/AE82</f>
        <v>54.228166307638404</v>
      </c>
      <c r="AG82" s="256">
        <f>SUMIFS(AG$19:AG$168, $E$19:$E$168,$E82,$C$19:$C$168,"3100")+SUMIFS(AG$19:AG$168, $E$19:$E$168,$E82,$C$19:$C$168,"3200")+SUMIFS(AG$19:AG$168, $E$19:$E$168,$E82,$C$19:$C$168,"3300")+SUMIFS(AG$19:AG$168, $E$19:$E$168,$E82,$C$19:$C$168,"3400")</f>
        <v>1412436.6052165148</v>
      </c>
      <c r="AH82" s="182">
        <f>VLOOKUP($H82,'Cost Drivers'!$A$2:$R$66,16,FALSE)</f>
        <v>25517</v>
      </c>
      <c r="AI82" s="264">
        <f>AG82/AH82</f>
        <v>55.352768946839944</v>
      </c>
      <c r="AJ82" s="256">
        <f>SUMIFS(AJ$19:AJ$168, $E$19:$E$168,$E82,$C$19:$C$168,"3100")+SUMIFS(AJ$19:AJ$168, $E$19:$E$168,$E82,$C$19:$C$168,"3200")+SUMIFS(AJ$19:AJ$168, $E$19:$E$168,$E82,$C$19:$C$168,"3300")+SUMIFS(AJ$19:AJ$168, $E$19:$E$168,$E82,$C$19:$C$168,"3400")</f>
        <v>1096669.0345749524</v>
      </c>
      <c r="AK82" s="182">
        <f>VLOOKUP($H82,'Cost Drivers'!$A$2:$R$66,18,FALSE)</f>
        <v>19296</v>
      </c>
      <c r="AL82" s="264">
        <f>AJ82/AK82</f>
        <v>56.834008839912542</v>
      </c>
      <c r="AM82" s="256">
        <f>SUMIFS(AM$19:AM$168, $E$19:$E$168,$E82,$C$19:$C$168,"3100")+SUMIFS(AM$19:AM$168, $E$19:$E$168,$E82,$C$19:$C$168,"3200")+SUMIFS(AM$19:AM$168, $E$19:$E$168,$E82,$C$19:$C$168,"3300")+SUMIFS(AM$19:AM$168, $E$19:$E$168,$E82,$C$19:$C$168,"3400")</f>
        <v>1436223.6883333332</v>
      </c>
      <c r="AN82" s="182">
        <f>VLOOKUP($H82,'Cost Drivers'!$A$3:$V$67,20,FALSE)</f>
        <v>27072</v>
      </c>
      <c r="AO82" s="264">
        <f>AM82/AN82</f>
        <v>53.05199794375492</v>
      </c>
      <c r="AP82" s="256">
        <f>SUMIFS(AP$19:AP$168, $E$19:$E$168,$E82,$C$19:$C$168,"3100")+SUMIFS(AP$19:AP$168, $E$19:$E$168,$E82,$C$19:$C$168,"3200")+SUMIFS(AP$19:AP$168, $E$19:$E$168,$E82,$C$19:$C$168,"3300")+SUMIFS(AP$19:AP$168, $E$19:$E$168,$E82,$C$19:$C$168,"3400")</f>
        <v>1436223.6883333332</v>
      </c>
      <c r="AQ82" s="182">
        <f>VLOOKUP($H82,'Cost Drivers'!$A$3:$V$67,22,FALSE)</f>
        <v>27072</v>
      </c>
      <c r="AR82" s="264">
        <f>AP82/AQ82</f>
        <v>53.05199794375492</v>
      </c>
    </row>
    <row r="83" spans="2:44" outlineLevel="1" x14ac:dyDescent="0.25">
      <c r="B83" s="260" t="s">
        <v>228</v>
      </c>
      <c r="C83" s="261" t="s">
        <v>253</v>
      </c>
      <c r="D83" s="182">
        <f t="shared" si="3"/>
        <v>3000</v>
      </c>
      <c r="E83" s="262" t="s">
        <v>229</v>
      </c>
      <c r="F83" s="262" t="s">
        <v>207</v>
      </c>
      <c r="G83" s="287">
        <v>92282.684999999998</v>
      </c>
      <c r="H83" s="180" t="s">
        <v>522</v>
      </c>
      <c r="I83" s="135">
        <v>0</v>
      </c>
      <c r="J83" s="255">
        <f t="shared" si="86"/>
        <v>1</v>
      </c>
      <c r="K83" s="263">
        <f t="shared" ref="K83:K88" si="120">G83*I83</f>
        <v>0</v>
      </c>
      <c r="L83" s="257">
        <f t="shared" si="87"/>
        <v>92282.684999999998</v>
      </c>
      <c r="M83" s="462">
        <f>VLOOKUP($H83,'Cost Drivers'!$A$2:$R$66,2,FALSE)</f>
        <v>64.916666666666671</v>
      </c>
      <c r="N83" s="258">
        <f t="shared" si="88"/>
        <v>1421.5561232349164</v>
      </c>
      <c r="O83" s="187">
        <f t="shared" ref="O83:O88" si="121">P83*Q83</f>
        <v>92401.148010269564</v>
      </c>
      <c r="P83" s="480">
        <f>VLOOKUP($H83,'Cost Drivers'!$A$2:$R$66,4,FALSE)</f>
        <v>65</v>
      </c>
      <c r="Q83" s="264">
        <f>$N83</f>
        <v>1421.5561232349164</v>
      </c>
      <c r="R83" s="187">
        <f t="shared" ref="R83:R88" si="122">S83*T83</f>
        <v>89729.879192917215</v>
      </c>
      <c r="S83" s="182">
        <f>VLOOKUP($H83,'Cost Drivers'!$A$2:$R$66,6,FALSE)</f>
        <v>63.120884027235185</v>
      </c>
      <c r="T83" s="264">
        <f>$N83</f>
        <v>1421.5561232349164</v>
      </c>
      <c r="U83" s="187">
        <f t="shared" ref="U83:U88" si="123">V83*W83</f>
        <v>91734.19028753294</v>
      </c>
      <c r="V83" s="182">
        <f>VLOOKUP($H83,'Cost Drivers'!$A$2:$R$66,8,FALSE)</f>
        <v>64.530825612977637</v>
      </c>
      <c r="W83" s="264">
        <f>$N83</f>
        <v>1421.5561232349164</v>
      </c>
      <c r="X83" s="187">
        <f t="shared" ref="X83:X88" si="124">Y83*Z83</f>
        <v>86388.21472642236</v>
      </c>
      <c r="Y83" s="182">
        <f>VLOOKUP($H83,'Cost Drivers'!$A$2:$R$66,10,FALSE)</f>
        <v>60.77017524277263</v>
      </c>
      <c r="Z83" s="264">
        <f>$N83</f>
        <v>1421.5561232349164</v>
      </c>
      <c r="AA83" s="187">
        <f t="shared" ref="AA83:AA88" si="125">AB83*AC83</f>
        <v>90396.836915653825</v>
      </c>
      <c r="AB83" s="182">
        <f>VLOOKUP($H83,'Cost Drivers'!$A$2:$R$66,12,FALSE)</f>
        <v>63.590058414257541</v>
      </c>
      <c r="AC83" s="264">
        <f>$N83</f>
        <v>1421.5561232349164</v>
      </c>
      <c r="AD83" s="187">
        <f t="shared" ref="AD83:AD88" si="126">AE83*AF83</f>
        <v>79704.885793432666</v>
      </c>
      <c r="AE83" s="182">
        <f>VLOOKUP($H83,'Cost Drivers'!$A$2:$R$66,14,FALSE)</f>
        <v>56.068757673847529</v>
      </c>
      <c r="AF83" s="264">
        <f>$N83</f>
        <v>1421.5561232349164</v>
      </c>
      <c r="AG83" s="187">
        <f t="shared" ref="AG83:AG88" si="127">AH83*AI83</f>
        <v>87725.568098301461</v>
      </c>
      <c r="AH83" s="182">
        <f>VLOOKUP($H83,'Cost Drivers'!$A$2:$R$66,16,FALSE)</f>
        <v>61.710942441492726</v>
      </c>
      <c r="AI83" s="264">
        <f>$N83</f>
        <v>1421.5561232349164</v>
      </c>
      <c r="AJ83" s="187">
        <f t="shared" ref="AJ83:AJ88" si="128">AK83*AL83</f>
        <v>66338.227927453278</v>
      </c>
      <c r="AK83" s="182">
        <f>VLOOKUP($H83,'Cost Drivers'!$A$2:$R$66,18,FALSE)</f>
        <v>46.665922535997325</v>
      </c>
      <c r="AL83" s="264">
        <f>$N83</f>
        <v>1421.5561232349164</v>
      </c>
      <c r="AM83" s="187">
        <f t="shared" ref="AM83:AM88" si="129">AN83*AO83</f>
        <v>92282.684999999998</v>
      </c>
      <c r="AN83" s="182">
        <f>VLOOKUP($H83,'Cost Drivers'!$A$3:$V$67,20,FALSE)</f>
        <v>64.916666666666671</v>
      </c>
      <c r="AO83" s="264">
        <f>$N83</f>
        <v>1421.5561232349164</v>
      </c>
      <c r="AP83" s="187">
        <f t="shared" ref="AP83:AP88" si="130">AQ83*AR83</f>
        <v>92282.684999999998</v>
      </c>
      <c r="AQ83" s="182">
        <f>VLOOKUP($H83,'Cost Drivers'!$A$3:$V$67,22,FALSE)</f>
        <v>64.916666666666671</v>
      </c>
      <c r="AR83" s="264">
        <f>$N83</f>
        <v>1421.5561232349164</v>
      </c>
    </row>
    <row r="84" spans="2:44" outlineLevel="1" x14ac:dyDescent="0.25">
      <c r="B84" s="260" t="s">
        <v>228</v>
      </c>
      <c r="C84" s="261" t="s">
        <v>254</v>
      </c>
      <c r="D84" s="182">
        <f t="shared" si="3"/>
        <v>3000</v>
      </c>
      <c r="E84" s="262" t="s">
        <v>229</v>
      </c>
      <c r="F84" s="262" t="s">
        <v>208</v>
      </c>
      <c r="G84" s="287">
        <v>1343941.0033333332</v>
      </c>
      <c r="H84" s="180" t="s">
        <v>325</v>
      </c>
      <c r="I84" s="150">
        <v>0</v>
      </c>
      <c r="J84" s="255">
        <f t="shared" si="86"/>
        <v>1</v>
      </c>
      <c r="K84" s="263">
        <f t="shared" si="120"/>
        <v>0</v>
      </c>
      <c r="L84" s="257">
        <f t="shared" si="87"/>
        <v>1343941.0033333332</v>
      </c>
      <c r="M84" s="462">
        <f>VLOOKUP($H84,'Cost Drivers'!$A$2:$R$66,2,FALSE)</f>
        <v>9.130647130647132</v>
      </c>
      <c r="N84" s="258">
        <f t="shared" si="88"/>
        <v>147190.11523535702</v>
      </c>
      <c r="O84" s="187">
        <f t="shared" si="121"/>
        <v>1324711.0371182133</v>
      </c>
      <c r="P84" s="480">
        <f>VLOOKUP($H84,'Cost Drivers'!$A$2:$R$66,4,FALSE)</f>
        <v>9</v>
      </c>
      <c r="Q84" s="264">
        <f t="shared" ref="Q84:Q88" si="131">$N84</f>
        <v>147190.11523535702</v>
      </c>
      <c r="R84" s="187">
        <f t="shared" si="122"/>
        <v>1324711.0371182133</v>
      </c>
      <c r="S84" s="182">
        <f>VLOOKUP($H84,'Cost Drivers'!$A$2:$R$66,6,FALSE)</f>
        <v>9</v>
      </c>
      <c r="T84" s="264">
        <f t="shared" ref="T84:T88" si="132">$N84</f>
        <v>147190.11523535702</v>
      </c>
      <c r="U84" s="187">
        <f t="shared" si="123"/>
        <v>1324711.0371182133</v>
      </c>
      <c r="V84" s="182">
        <f>VLOOKUP($H84,'Cost Drivers'!$A$2:$R$66,8,FALSE)</f>
        <v>9</v>
      </c>
      <c r="W84" s="264">
        <f t="shared" ref="W84:W88" si="133">$N84</f>
        <v>147190.11523535702</v>
      </c>
      <c r="X84" s="187">
        <f t="shared" si="124"/>
        <v>1324711.0371182133</v>
      </c>
      <c r="Y84" s="182">
        <f>VLOOKUP($H84,'Cost Drivers'!$A$2:$R$66,10,FALSE)</f>
        <v>9</v>
      </c>
      <c r="Z84" s="264">
        <f t="shared" ref="Z84:Z88" si="134">$N84</f>
        <v>147190.11523535702</v>
      </c>
      <c r="AA84" s="187">
        <f t="shared" si="125"/>
        <v>1324711.0371182133</v>
      </c>
      <c r="AB84" s="182">
        <f>VLOOKUP($H84,'Cost Drivers'!$A$2:$R$66,12,FALSE)</f>
        <v>9</v>
      </c>
      <c r="AC84" s="264">
        <f t="shared" ref="AC84:AC88" si="135">$N84</f>
        <v>147190.11523535702</v>
      </c>
      <c r="AD84" s="187">
        <f t="shared" si="126"/>
        <v>1177520.9218828562</v>
      </c>
      <c r="AE84" s="182">
        <f>VLOOKUP($H84,'Cost Drivers'!$A$2:$R$66,14,FALSE)</f>
        <v>8</v>
      </c>
      <c r="AF84" s="264">
        <f t="shared" ref="AF84:AF88" si="136">$N84</f>
        <v>147190.11523535702</v>
      </c>
      <c r="AG84" s="187">
        <f t="shared" si="127"/>
        <v>1324711.0371182133</v>
      </c>
      <c r="AH84" s="182">
        <f>VLOOKUP($H84,'Cost Drivers'!$A$2:$R$66,16,FALSE)</f>
        <v>9</v>
      </c>
      <c r="AI84" s="264">
        <f t="shared" ref="AI84:AI88" si="137">$N84</f>
        <v>147190.11523535702</v>
      </c>
      <c r="AJ84" s="187">
        <f t="shared" si="128"/>
        <v>1030330.8066474991</v>
      </c>
      <c r="AK84" s="182">
        <f>VLOOKUP($H84,'Cost Drivers'!$A$2:$R$66,18,FALSE)</f>
        <v>7</v>
      </c>
      <c r="AL84" s="264">
        <f t="shared" ref="AL84:AL88" si="138">$N84</f>
        <v>147190.11523535702</v>
      </c>
      <c r="AM84" s="187">
        <f t="shared" si="129"/>
        <v>1343941.0033333332</v>
      </c>
      <c r="AN84" s="182">
        <f>VLOOKUP($H84,'Cost Drivers'!$A$3:$V$67,20,FALSE)</f>
        <v>9.130647130647132</v>
      </c>
      <c r="AO84" s="264">
        <f t="shared" ref="AO84:AO88" si="139">$N84</f>
        <v>147190.11523535702</v>
      </c>
      <c r="AP84" s="187">
        <f t="shared" si="130"/>
        <v>1343941.0033333332</v>
      </c>
      <c r="AQ84" s="182">
        <f>VLOOKUP($H84,'Cost Drivers'!$A$3:$V$67,22,FALSE)</f>
        <v>9.130647130647132</v>
      </c>
      <c r="AR84" s="264">
        <f t="shared" ref="AR84:AR88" si="140">$N84</f>
        <v>147190.11523535702</v>
      </c>
    </row>
    <row r="85" spans="2:44" outlineLevel="1" x14ac:dyDescent="0.25">
      <c r="B85" s="260" t="s">
        <v>228</v>
      </c>
      <c r="C85" s="261" t="s">
        <v>255</v>
      </c>
      <c r="D85" s="182">
        <f t="shared" si="3"/>
        <v>3000</v>
      </c>
      <c r="E85" s="262" t="s">
        <v>229</v>
      </c>
      <c r="F85" s="262" t="s">
        <v>209</v>
      </c>
      <c r="G85" s="287">
        <v>343779.99833333329</v>
      </c>
      <c r="H85" s="180" t="s">
        <v>93</v>
      </c>
      <c r="I85" s="150">
        <v>1</v>
      </c>
      <c r="J85" s="255">
        <f t="shared" si="86"/>
        <v>0</v>
      </c>
      <c r="K85" s="263">
        <f t="shared" si="120"/>
        <v>343779.99833333329</v>
      </c>
      <c r="L85" s="257">
        <f t="shared" si="87"/>
        <v>0</v>
      </c>
      <c r="M85" s="462">
        <f>VLOOKUP($H85,'Cost Drivers'!$A$2:$R$66,2,FALSE)</f>
        <v>1</v>
      </c>
      <c r="N85" s="258">
        <f t="shared" si="88"/>
        <v>0</v>
      </c>
      <c r="O85" s="187">
        <f t="shared" si="121"/>
        <v>0</v>
      </c>
      <c r="P85" s="480">
        <f>VLOOKUP($H85,'Cost Drivers'!$A$2:$R$66,4,FALSE)</f>
        <v>1</v>
      </c>
      <c r="Q85" s="264">
        <f t="shared" si="131"/>
        <v>0</v>
      </c>
      <c r="R85" s="187">
        <f t="shared" si="122"/>
        <v>0</v>
      </c>
      <c r="S85" s="182">
        <f>VLOOKUP($H85,'Cost Drivers'!$A$2:$R$66,6,FALSE)</f>
        <v>1</v>
      </c>
      <c r="T85" s="264">
        <f t="shared" si="132"/>
        <v>0</v>
      </c>
      <c r="U85" s="187">
        <f t="shared" si="123"/>
        <v>0</v>
      </c>
      <c r="V85" s="182">
        <f>VLOOKUP($H85,'Cost Drivers'!$A$2:$R$66,8,FALSE)</f>
        <v>1</v>
      </c>
      <c r="W85" s="264">
        <f t="shared" si="133"/>
        <v>0</v>
      </c>
      <c r="X85" s="187">
        <f t="shared" si="124"/>
        <v>0</v>
      </c>
      <c r="Y85" s="182">
        <f>VLOOKUP($H85,'Cost Drivers'!$A$2:$R$66,10,FALSE)</f>
        <v>1</v>
      </c>
      <c r="Z85" s="264">
        <f t="shared" si="134"/>
        <v>0</v>
      </c>
      <c r="AA85" s="187">
        <f t="shared" si="125"/>
        <v>0</v>
      </c>
      <c r="AB85" s="182">
        <f>VLOOKUP($H85,'Cost Drivers'!$A$2:$R$66,12,FALSE)</f>
        <v>1</v>
      </c>
      <c r="AC85" s="264">
        <f t="shared" si="135"/>
        <v>0</v>
      </c>
      <c r="AD85" s="187">
        <f t="shared" si="126"/>
        <v>0</v>
      </c>
      <c r="AE85" s="182">
        <f>VLOOKUP($H85,'Cost Drivers'!$A$2:$R$66,14,FALSE)</f>
        <v>1</v>
      </c>
      <c r="AF85" s="264">
        <f t="shared" si="136"/>
        <v>0</v>
      </c>
      <c r="AG85" s="187">
        <f t="shared" si="127"/>
        <v>0</v>
      </c>
      <c r="AH85" s="182">
        <f>VLOOKUP($H85,'Cost Drivers'!$A$2:$R$66,16,FALSE)</f>
        <v>1</v>
      </c>
      <c r="AI85" s="264">
        <f t="shared" si="137"/>
        <v>0</v>
      </c>
      <c r="AJ85" s="187">
        <f t="shared" si="128"/>
        <v>0</v>
      </c>
      <c r="AK85" s="182">
        <f>VLOOKUP($H85,'Cost Drivers'!$A$2:$R$66,18,FALSE)</f>
        <v>1</v>
      </c>
      <c r="AL85" s="264">
        <f t="shared" si="138"/>
        <v>0</v>
      </c>
      <c r="AM85" s="187">
        <f t="shared" si="129"/>
        <v>0</v>
      </c>
      <c r="AN85" s="182">
        <f>VLOOKUP($H85,'Cost Drivers'!$A$3:$V$67,20,FALSE)</f>
        <v>1</v>
      </c>
      <c r="AO85" s="264">
        <f t="shared" si="139"/>
        <v>0</v>
      </c>
      <c r="AP85" s="187">
        <f t="shared" si="130"/>
        <v>0</v>
      </c>
      <c r="AQ85" s="182">
        <f>VLOOKUP($H85,'Cost Drivers'!$A$3:$V$67,22,FALSE)</f>
        <v>1</v>
      </c>
      <c r="AR85" s="264">
        <f t="shared" si="140"/>
        <v>0</v>
      </c>
    </row>
    <row r="86" spans="2:44" outlineLevel="1" x14ac:dyDescent="0.25">
      <c r="B86" s="260" t="s">
        <v>228</v>
      </c>
      <c r="C86" s="261" t="s">
        <v>256</v>
      </c>
      <c r="D86" s="182">
        <f t="shared" ref="D86:D145" si="141">FLOOR(LEFT(C86,4), 1000)</f>
        <v>3000</v>
      </c>
      <c r="E86" s="262" t="s">
        <v>229</v>
      </c>
      <c r="F86" s="262" t="s">
        <v>210</v>
      </c>
      <c r="G86" s="287">
        <v>0</v>
      </c>
      <c r="H86" s="180" t="s">
        <v>93</v>
      </c>
      <c r="I86" s="135">
        <v>1</v>
      </c>
      <c r="J86" s="255">
        <f t="shared" si="86"/>
        <v>0</v>
      </c>
      <c r="K86" s="263">
        <f t="shared" si="120"/>
        <v>0</v>
      </c>
      <c r="L86" s="257">
        <f t="shared" si="87"/>
        <v>0</v>
      </c>
      <c r="M86" s="462">
        <f>VLOOKUP($H86,'Cost Drivers'!$A$2:$R$66,2,FALSE)</f>
        <v>1</v>
      </c>
      <c r="N86" s="258">
        <f t="shared" si="88"/>
        <v>0</v>
      </c>
      <c r="O86" s="187">
        <f t="shared" si="121"/>
        <v>0</v>
      </c>
      <c r="P86" s="480">
        <f>VLOOKUP($H86,'Cost Drivers'!$A$2:$R$66,4,FALSE)</f>
        <v>1</v>
      </c>
      <c r="Q86" s="264">
        <f t="shared" si="131"/>
        <v>0</v>
      </c>
      <c r="R86" s="187">
        <f t="shared" si="122"/>
        <v>0</v>
      </c>
      <c r="S86" s="182">
        <f>VLOOKUP($H86,'Cost Drivers'!$A$2:$R$66,6,FALSE)</f>
        <v>1</v>
      </c>
      <c r="T86" s="264">
        <f t="shared" si="132"/>
        <v>0</v>
      </c>
      <c r="U86" s="187">
        <f t="shared" si="123"/>
        <v>0</v>
      </c>
      <c r="V86" s="182">
        <f>VLOOKUP($H86,'Cost Drivers'!$A$2:$R$66,8,FALSE)</f>
        <v>1</v>
      </c>
      <c r="W86" s="264">
        <f t="shared" si="133"/>
        <v>0</v>
      </c>
      <c r="X86" s="187">
        <f t="shared" si="124"/>
        <v>0</v>
      </c>
      <c r="Y86" s="182">
        <f>VLOOKUP($H86,'Cost Drivers'!$A$2:$R$66,10,FALSE)</f>
        <v>1</v>
      </c>
      <c r="Z86" s="264">
        <f t="shared" si="134"/>
        <v>0</v>
      </c>
      <c r="AA86" s="187">
        <f t="shared" si="125"/>
        <v>0</v>
      </c>
      <c r="AB86" s="182">
        <f>VLOOKUP($H86,'Cost Drivers'!$A$2:$R$66,12,FALSE)</f>
        <v>1</v>
      </c>
      <c r="AC86" s="264">
        <f t="shared" si="135"/>
        <v>0</v>
      </c>
      <c r="AD86" s="187">
        <f t="shared" si="126"/>
        <v>0</v>
      </c>
      <c r="AE86" s="182">
        <f>VLOOKUP($H86,'Cost Drivers'!$A$2:$R$66,14,FALSE)</f>
        <v>1</v>
      </c>
      <c r="AF86" s="264">
        <f t="shared" si="136"/>
        <v>0</v>
      </c>
      <c r="AG86" s="187">
        <f t="shared" si="127"/>
        <v>0</v>
      </c>
      <c r="AH86" s="182">
        <f>VLOOKUP($H86,'Cost Drivers'!$A$2:$R$66,16,FALSE)</f>
        <v>1</v>
      </c>
      <c r="AI86" s="264">
        <f t="shared" si="137"/>
        <v>0</v>
      </c>
      <c r="AJ86" s="187">
        <f t="shared" si="128"/>
        <v>0</v>
      </c>
      <c r="AK86" s="182">
        <f>VLOOKUP($H86,'Cost Drivers'!$A$2:$R$66,18,FALSE)</f>
        <v>1</v>
      </c>
      <c r="AL86" s="264">
        <f t="shared" si="138"/>
        <v>0</v>
      </c>
      <c r="AM86" s="187">
        <f t="shared" si="129"/>
        <v>0</v>
      </c>
      <c r="AN86" s="182">
        <f>VLOOKUP($H86,'Cost Drivers'!$A$3:$V$67,20,FALSE)</f>
        <v>1</v>
      </c>
      <c r="AO86" s="264">
        <f t="shared" si="139"/>
        <v>0</v>
      </c>
      <c r="AP86" s="187">
        <f t="shared" si="130"/>
        <v>0</v>
      </c>
      <c r="AQ86" s="182">
        <f>VLOOKUP($H86,'Cost Drivers'!$A$3:$V$67,22,FALSE)</f>
        <v>1</v>
      </c>
      <c r="AR86" s="264">
        <f t="shared" si="140"/>
        <v>0</v>
      </c>
    </row>
    <row r="87" spans="2:44" outlineLevel="1" x14ac:dyDescent="0.25">
      <c r="B87" s="250" t="s">
        <v>228</v>
      </c>
      <c r="C87" s="251" t="s">
        <v>257</v>
      </c>
      <c r="D87" s="182">
        <f t="shared" si="141"/>
        <v>4000</v>
      </c>
      <c r="E87" s="252" t="s">
        <v>229</v>
      </c>
      <c r="F87" s="252" t="s">
        <v>211</v>
      </c>
      <c r="G87" s="287">
        <v>205238.49999999997</v>
      </c>
      <c r="H87" s="180" t="s">
        <v>93</v>
      </c>
      <c r="I87" s="135">
        <v>1</v>
      </c>
      <c r="J87" s="255">
        <f t="shared" si="86"/>
        <v>0</v>
      </c>
      <c r="K87" s="256">
        <f t="shared" si="120"/>
        <v>205238.49999999997</v>
      </c>
      <c r="L87" s="257">
        <f t="shared" si="87"/>
        <v>0</v>
      </c>
      <c r="M87" s="462">
        <f>VLOOKUP($H87,'Cost Drivers'!$A$2:$R$66,2,FALSE)</f>
        <v>1</v>
      </c>
      <c r="N87" s="258">
        <f t="shared" si="88"/>
        <v>0</v>
      </c>
      <c r="O87" s="256">
        <f t="shared" si="121"/>
        <v>0</v>
      </c>
      <c r="P87" s="480">
        <f>VLOOKUP($H87,'Cost Drivers'!$A$2:$R$66,4,FALSE)</f>
        <v>1</v>
      </c>
      <c r="Q87" s="264">
        <f t="shared" si="131"/>
        <v>0</v>
      </c>
      <c r="R87" s="256">
        <f t="shared" si="122"/>
        <v>0</v>
      </c>
      <c r="S87" s="182">
        <f>VLOOKUP($H87,'Cost Drivers'!$A$2:$R$66,6,FALSE)</f>
        <v>1</v>
      </c>
      <c r="T87" s="264">
        <f t="shared" si="132"/>
        <v>0</v>
      </c>
      <c r="U87" s="256">
        <f t="shared" si="123"/>
        <v>0</v>
      </c>
      <c r="V87" s="182">
        <f>VLOOKUP($H87,'Cost Drivers'!$A$2:$R$66,8,FALSE)</f>
        <v>1</v>
      </c>
      <c r="W87" s="264">
        <f t="shared" si="133"/>
        <v>0</v>
      </c>
      <c r="X87" s="256">
        <f t="shared" si="124"/>
        <v>0</v>
      </c>
      <c r="Y87" s="182">
        <f>VLOOKUP($H87,'Cost Drivers'!$A$2:$R$66,10,FALSE)</f>
        <v>1</v>
      </c>
      <c r="Z87" s="264">
        <f t="shared" si="134"/>
        <v>0</v>
      </c>
      <c r="AA87" s="256">
        <f t="shared" si="125"/>
        <v>0</v>
      </c>
      <c r="AB87" s="182">
        <f>VLOOKUP($H87,'Cost Drivers'!$A$2:$R$66,12,FALSE)</f>
        <v>1</v>
      </c>
      <c r="AC87" s="264">
        <f t="shared" si="135"/>
        <v>0</v>
      </c>
      <c r="AD87" s="256">
        <f t="shared" si="126"/>
        <v>0</v>
      </c>
      <c r="AE87" s="182">
        <f>VLOOKUP($H87,'Cost Drivers'!$A$2:$R$66,14,FALSE)</f>
        <v>1</v>
      </c>
      <c r="AF87" s="264">
        <f t="shared" si="136"/>
        <v>0</v>
      </c>
      <c r="AG87" s="256">
        <f t="shared" si="127"/>
        <v>0</v>
      </c>
      <c r="AH87" s="182">
        <f>VLOOKUP($H87,'Cost Drivers'!$A$2:$R$66,16,FALSE)</f>
        <v>1</v>
      </c>
      <c r="AI87" s="264">
        <f t="shared" si="137"/>
        <v>0</v>
      </c>
      <c r="AJ87" s="256">
        <f t="shared" si="128"/>
        <v>0</v>
      </c>
      <c r="AK87" s="182">
        <f>VLOOKUP($H87,'Cost Drivers'!$A$2:$R$66,18,FALSE)</f>
        <v>1</v>
      </c>
      <c r="AL87" s="264">
        <f t="shared" si="138"/>
        <v>0</v>
      </c>
      <c r="AM87" s="256">
        <f t="shared" si="129"/>
        <v>0</v>
      </c>
      <c r="AN87" s="182">
        <f>VLOOKUP($H87,'Cost Drivers'!$A$3:$V$67,20,FALSE)</f>
        <v>1</v>
      </c>
      <c r="AO87" s="264">
        <f t="shared" si="139"/>
        <v>0</v>
      </c>
      <c r="AP87" s="256">
        <f t="shared" si="130"/>
        <v>0</v>
      </c>
      <c r="AQ87" s="182">
        <f>VLOOKUP($H87,'Cost Drivers'!$A$3:$V$67,22,FALSE)</f>
        <v>1</v>
      </c>
      <c r="AR87" s="264">
        <f t="shared" si="140"/>
        <v>0</v>
      </c>
    </row>
    <row r="88" spans="2:44" outlineLevel="1" x14ac:dyDescent="0.25">
      <c r="B88" s="250" t="s">
        <v>228</v>
      </c>
      <c r="C88" s="251" t="s">
        <v>258</v>
      </c>
      <c r="D88" s="182">
        <f t="shared" si="141"/>
        <v>5000</v>
      </c>
      <c r="E88" s="252" t="s">
        <v>229</v>
      </c>
      <c r="F88" s="252" t="s">
        <v>212</v>
      </c>
      <c r="G88" s="287">
        <v>55723.381666666661</v>
      </c>
      <c r="H88" s="180" t="s">
        <v>93</v>
      </c>
      <c r="I88" s="135">
        <v>1</v>
      </c>
      <c r="J88" s="255">
        <f t="shared" si="86"/>
        <v>0</v>
      </c>
      <c r="K88" s="256">
        <f t="shared" si="120"/>
        <v>55723.381666666661</v>
      </c>
      <c r="L88" s="257">
        <f t="shared" si="87"/>
        <v>0</v>
      </c>
      <c r="M88" s="462">
        <f>VLOOKUP($H88,'Cost Drivers'!$A$2:$R$66,2,FALSE)</f>
        <v>1</v>
      </c>
      <c r="N88" s="258">
        <f t="shared" si="88"/>
        <v>0</v>
      </c>
      <c r="O88" s="256">
        <f t="shared" si="121"/>
        <v>0</v>
      </c>
      <c r="P88" s="480">
        <f>VLOOKUP($H88,'Cost Drivers'!$A$2:$R$66,4,FALSE)</f>
        <v>1</v>
      </c>
      <c r="Q88" s="264">
        <f t="shared" si="131"/>
        <v>0</v>
      </c>
      <c r="R88" s="256">
        <f t="shared" si="122"/>
        <v>0</v>
      </c>
      <c r="S88" s="182">
        <f>VLOOKUP($H88,'Cost Drivers'!$A$2:$R$66,6,FALSE)</f>
        <v>1</v>
      </c>
      <c r="T88" s="264">
        <f t="shared" si="132"/>
        <v>0</v>
      </c>
      <c r="U88" s="256">
        <f t="shared" si="123"/>
        <v>0</v>
      </c>
      <c r="V88" s="182">
        <f>VLOOKUP($H88,'Cost Drivers'!$A$2:$R$66,8,FALSE)</f>
        <v>1</v>
      </c>
      <c r="W88" s="264">
        <f t="shared" si="133"/>
        <v>0</v>
      </c>
      <c r="X88" s="256">
        <f t="shared" si="124"/>
        <v>0</v>
      </c>
      <c r="Y88" s="182">
        <f>VLOOKUP($H88,'Cost Drivers'!$A$2:$R$66,10,FALSE)</f>
        <v>1</v>
      </c>
      <c r="Z88" s="264">
        <f t="shared" si="134"/>
        <v>0</v>
      </c>
      <c r="AA88" s="256">
        <f t="shared" si="125"/>
        <v>0</v>
      </c>
      <c r="AB88" s="182">
        <f>VLOOKUP($H88,'Cost Drivers'!$A$2:$R$66,12,FALSE)</f>
        <v>1</v>
      </c>
      <c r="AC88" s="264">
        <f t="shared" si="135"/>
        <v>0</v>
      </c>
      <c r="AD88" s="256">
        <f t="shared" si="126"/>
        <v>0</v>
      </c>
      <c r="AE88" s="182">
        <f>VLOOKUP($H88,'Cost Drivers'!$A$2:$R$66,14,FALSE)</f>
        <v>1</v>
      </c>
      <c r="AF88" s="264">
        <f t="shared" si="136"/>
        <v>0</v>
      </c>
      <c r="AG88" s="256">
        <f t="shared" si="127"/>
        <v>0</v>
      </c>
      <c r="AH88" s="182">
        <f>VLOOKUP($H88,'Cost Drivers'!$A$2:$R$66,16,FALSE)</f>
        <v>1</v>
      </c>
      <c r="AI88" s="264">
        <f t="shared" si="137"/>
        <v>0</v>
      </c>
      <c r="AJ88" s="256">
        <f t="shared" si="128"/>
        <v>0</v>
      </c>
      <c r="AK88" s="182">
        <f>VLOOKUP($H88,'Cost Drivers'!$A$2:$R$66,18,FALSE)</f>
        <v>1</v>
      </c>
      <c r="AL88" s="264">
        <f t="shared" si="138"/>
        <v>0</v>
      </c>
      <c r="AM88" s="256">
        <f t="shared" si="129"/>
        <v>0</v>
      </c>
      <c r="AN88" s="182">
        <f>VLOOKUP($H88,'Cost Drivers'!$A$3:$V$67,20,FALSE)</f>
        <v>1</v>
      </c>
      <c r="AO88" s="264">
        <f t="shared" si="139"/>
        <v>0</v>
      </c>
      <c r="AP88" s="256">
        <f t="shared" si="130"/>
        <v>0</v>
      </c>
      <c r="AQ88" s="182">
        <f>VLOOKUP($H88,'Cost Drivers'!$A$3:$V$67,22,FALSE)</f>
        <v>1</v>
      </c>
      <c r="AR88" s="264">
        <f t="shared" si="140"/>
        <v>0</v>
      </c>
    </row>
    <row r="89" spans="2:44" s="249" customFormat="1" ht="30" customHeight="1" x14ac:dyDescent="0.25">
      <c r="B89" s="238" t="s">
        <v>259</v>
      </c>
      <c r="C89" s="239" t="s">
        <v>196</v>
      </c>
      <c r="D89" s="182">
        <f t="shared" si="141"/>
        <v>0</v>
      </c>
      <c r="E89" s="240" t="s">
        <v>230</v>
      </c>
      <c r="F89" s="240" t="s">
        <v>235</v>
      </c>
      <c r="G89" s="241">
        <f>SUM(G90,G95,G105)</f>
        <v>102637824.45333332</v>
      </c>
      <c r="H89" s="181" t="s">
        <v>270</v>
      </c>
      <c r="I89" s="242">
        <f>K89/G89</f>
        <v>4.0699913885703948E-3</v>
      </c>
      <c r="J89" s="243">
        <f t="shared" si="86"/>
        <v>0.99593000861142955</v>
      </c>
      <c r="K89" s="241">
        <f>SUMIFS(K$19:K$168,$E$19:$E$168,$E89,$F$19:$F$168,"&lt;&gt;"&amp;$F89,$C$19:$C$168,"1000")+SUMIFS(K$19:K$168,$E$19:$E$168,$E89,$F$19:$F$168,"&lt;&gt;"&amp;$F89,$C$19:$C$168,"2000")+SUMIFS(K$19:K$168,$E$19:$E$168,$E89,$F$19:$F$168,"&lt;&gt;"&amp;$F89,$C$19:$C$168,"3000")+SUMIFS(K$19:K$168,$E$19:$E$168,$E89,$F$19:$F$168,"&lt;&gt;"&amp;$F89,$C$19:$C$168,"4000")+SUMIFS(K$19:K$168,$E$19:$E$168,$E89,$F$19:$F$168,"&lt;&gt;"&amp;$F89,$C$19:$C$168,"5000")</f>
        <v>417735.06166666653</v>
      </c>
      <c r="L89" s="244">
        <f t="shared" si="87"/>
        <v>102220089.39166665</v>
      </c>
      <c r="M89" s="461">
        <f>VLOOKUP($H89,'Cost Drivers'!$A$2:$R$66,2,FALSE)</f>
        <v>27071.666666666668</v>
      </c>
      <c r="N89" s="245">
        <f t="shared" si="88"/>
        <v>3775.9067681462775</v>
      </c>
      <c r="O89" s="246">
        <f>SUMIFS(O$19:O$168, $E$19:$E$168,$E89,$C$19:$C$168,"1000")+SUMIFS(O$19:O$168, $E$19:$E$168,$E89,$C$19:$C$168,"2000")+SUMIFS(O$19:O$168, $E$19:$E$168,$E89,$C$19:$C$168,"3000")+SUMIFS(O$19:O$168, $E$19:$E$168,$E89,$C$19:$C$168,"4000")+SUMIFS(O$19:O$168, $E$19:$E$168,$E89,$C$19:$C$168,"5000")</f>
        <v>100503345.5552011</v>
      </c>
      <c r="P89" s="479">
        <f>VLOOKUP($H89,'Cost Drivers'!$A$2:$R$66,4,FALSE)</f>
        <v>26877</v>
      </c>
      <c r="Q89" s="248">
        <f>O89/P89</f>
        <v>3739.3810899728801</v>
      </c>
      <c r="R89" s="246">
        <f>SUMIFS(R$19:R$168, $E$19:$E$168,$E89,$C$19:$C$168,"1000")+SUMIFS(R$19:R$168, $E$19:$E$168,$E89,$C$19:$C$168,"2000")+SUMIFS(R$19:R$168, $E$19:$E$168,$E89,$C$19:$C$168,"3000")+SUMIFS(R$19:R$168, $E$19:$E$168,$E89,$C$19:$C$168,"4000")+SUMIFS(R$19:R$168, $E$19:$E$168,$E89,$C$19:$C$168,"5000")</f>
        <v>98329475.418300018</v>
      </c>
      <c r="S89" s="247">
        <f>VLOOKUP($H89,'Cost Drivers'!$A$2:$R$66,6,FALSE)</f>
        <v>26100</v>
      </c>
      <c r="T89" s="248">
        <f>R89/S89</f>
        <v>3767.4128512758625</v>
      </c>
      <c r="U89" s="246">
        <f>SUMIFS(U$19:U$168, $E$19:$E$168,$E89,$C$19:$C$168,"1000")+SUMIFS(U$19:U$168, $E$19:$E$168,$E89,$C$19:$C$168,"2000")+SUMIFS(U$19:U$168, $E$19:$E$168,$E89,$C$19:$C$168,"3000")+SUMIFS(U$19:U$168, $E$19:$E$168,$E89,$C$19:$C$168,"4000")+SUMIFS(U$19:U$168, $E$19:$E$168,$E89,$C$19:$C$168,"5000")</f>
        <v>100313180.27020067</v>
      </c>
      <c r="V89" s="247">
        <f>VLOOKUP($H89,'Cost Drivers'!$A$2:$R$66,8,FALSE)</f>
        <v>26683</v>
      </c>
      <c r="W89" s="248">
        <f>U89/V89</f>
        <v>3759.4416021512075</v>
      </c>
      <c r="X89" s="246">
        <f>SUMIFS(X$19:X$168, $E$19:$E$168,$E89,$C$19:$C$168,"1000")+SUMIFS(X$19:X$168, $E$19:$E$168,$E89,$C$19:$C$168,"2000")+SUMIFS(X$19:X$168, $E$19:$E$168,$E89,$C$19:$C$168,"3000")+SUMIFS(X$19:X$168, $E$19:$E$168,$E89,$C$19:$C$168,"4000")+SUMIFS(X$19:X$168, $E$19:$E$168,$E89,$C$19:$C$168,"5000")</f>
        <v>96150228.16467011</v>
      </c>
      <c r="Y89" s="247">
        <f>VLOOKUP($H89,'Cost Drivers'!$A$2:$R$66,10,FALSE)</f>
        <v>25128</v>
      </c>
      <c r="Z89" s="248">
        <f>X89/Y89</f>
        <v>3826.4178671072154</v>
      </c>
      <c r="AA89" s="246">
        <f>SUMIFS(AA$19:AA$168, $E$19:$E$168,$E89,$C$19:$C$168,"1000")+SUMIFS(AA$19:AA$168, $E$19:$E$168,$E89,$C$19:$C$168,"2000")+SUMIFS(AA$19:AA$168, $E$19:$E$168,$E89,$C$19:$C$168,"3000")+SUMIFS(AA$19:AA$168, $E$19:$E$168,$E89,$C$19:$C$168,"4000")+SUMIFS(AA$19:AA$168, $E$19:$E$168,$E89,$C$19:$C$168,"5000")</f>
        <v>99990476.475726664</v>
      </c>
      <c r="AB89" s="247">
        <f>VLOOKUP($H89,'Cost Drivers'!$A$2:$R$66,12,FALSE)</f>
        <v>26294</v>
      </c>
      <c r="AC89" s="248">
        <f>AA89/AB89</f>
        <v>3802.7868135592403</v>
      </c>
      <c r="AD89" s="246">
        <f>SUMIFS(AD$19:AD$168, $E$19:$E$168,$E89,$C$19:$C$168,"1000")+SUMIFS(AD$19:AD$168, $E$19:$E$168,$E89,$C$19:$C$168,"2000")+SUMIFS(AD$19:AD$168, $E$19:$E$168,$E89,$C$19:$C$168,"3000")+SUMIFS(AD$19:AD$168, $E$19:$E$168,$E89,$C$19:$C$168,"4000")+SUMIFS(AD$19:AD$168, $E$19:$E$168,$E89,$C$19:$C$168,"5000")</f>
        <v>91555261.979704887</v>
      </c>
      <c r="AE89" s="247">
        <f>VLOOKUP($H89,'Cost Drivers'!$A$2:$R$66,14,FALSE)</f>
        <v>23184</v>
      </c>
      <c r="AF89" s="248">
        <f>AD89/AE89</f>
        <v>3949.0709963640825</v>
      </c>
      <c r="AG89" s="246">
        <f>SUMIFS(AG$19:AG$168, $E$19:$E$168,$E89,$C$19:$C$168,"1000")+SUMIFS(AG$19:AG$168, $E$19:$E$168,$E89,$C$19:$C$168,"2000")+SUMIFS(AG$19:AG$168, $E$19:$E$168,$E89,$C$19:$C$168,"3000")+SUMIFS(AG$19:AG$168, $E$19:$E$168,$E89,$C$19:$C$168,"4000")+SUMIFS(AG$19:AG$168, $E$19:$E$168,$E89,$C$19:$C$168,"5000")</f>
        <v>99404055.031633466</v>
      </c>
      <c r="AH89" s="247">
        <f>VLOOKUP($H89,'Cost Drivers'!$A$2:$R$66,16,FALSE)</f>
        <v>25517</v>
      </c>
      <c r="AI89" s="248">
        <f>AG89/AH89</f>
        <v>3895.6011690885866</v>
      </c>
      <c r="AJ89" s="246">
        <f>SUMIFS(AJ$19:AJ$168, $E$19:$E$168,$E89,$C$19:$C$168,"1000")+SUMIFS(AJ$19:AJ$168, $E$19:$E$168,$E89,$C$19:$C$168,"2000")+SUMIFS(AJ$19:AJ$168, $E$19:$E$168,$E89,$C$19:$C$168,"3000")+SUMIFS(AJ$19:AJ$168, $E$19:$E$168,$E89,$C$19:$C$168,"4000")+SUMIFS(AJ$19:AJ$168, $E$19:$E$168,$E89,$C$19:$C$168,"5000")</f>
        <v>82339589.733187065</v>
      </c>
      <c r="AK89" s="247">
        <f>VLOOKUP($H89,'Cost Drivers'!$A$2:$R$66,18,FALSE)</f>
        <v>19296</v>
      </c>
      <c r="AL89" s="248">
        <f>AJ89/AK89</f>
        <v>4267.1843767198934</v>
      </c>
      <c r="AM89" s="246">
        <f>SUMIFS(AM$19:AM$168, $E$19:$E$168,$E89,$C$19:$C$168,"1000")+SUMIFS(AM$19:AM$168, $E$19:$E$168,$E89,$C$19:$C$168,"2000")+SUMIFS(AM$19:AM$168, $E$19:$E$168,$E89,$C$19:$C$168,"3000")+SUMIFS(AM$19:AM$168, $E$19:$E$168,$E89,$C$19:$C$168,"4000")+SUMIFS(AM$19:AM$168, $E$19:$E$168,$E89,$C$19:$C$168,"5000")</f>
        <v>100652702.3009468</v>
      </c>
      <c r="AN89" s="247">
        <f>VLOOKUP($H89,'Cost Drivers'!$A$3:$V$67,20,FALSE)</f>
        <v>27072</v>
      </c>
      <c r="AO89" s="248">
        <f>AM89/AN89</f>
        <v>3717.9632942134604</v>
      </c>
      <c r="AP89" s="246">
        <f>SUMIFS(AP$19:AP$168, $E$19:$E$168,$E89,$C$19:$C$168,"1000")+SUMIFS(AP$19:AP$168, $E$19:$E$168,$E89,$C$19:$C$168,"2000")+SUMIFS(AP$19:AP$168, $E$19:$E$168,$E89,$C$19:$C$168,"3000")+SUMIFS(AP$19:AP$168, $E$19:$E$168,$E89,$C$19:$C$168,"4000")+SUMIFS(AP$19:AP$168, $E$19:$E$168,$E89,$C$19:$C$168,"5000")</f>
        <v>100664293.53188397</v>
      </c>
      <c r="AQ89" s="247">
        <f>VLOOKUP($H89,'Cost Drivers'!$A$3:$V$67,22,FALSE)</f>
        <v>27072</v>
      </c>
      <c r="AR89" s="248">
        <f>AP89/AQ89</f>
        <v>3718.3914572947683</v>
      </c>
    </row>
    <row r="90" spans="2:44" outlineLevel="1" x14ac:dyDescent="0.25">
      <c r="B90" s="250" t="s">
        <v>259</v>
      </c>
      <c r="C90" s="251" t="s">
        <v>238</v>
      </c>
      <c r="D90" s="182">
        <f t="shared" si="141"/>
        <v>1000</v>
      </c>
      <c r="E90" s="252" t="s">
        <v>230</v>
      </c>
      <c r="F90" s="252" t="s">
        <v>234</v>
      </c>
      <c r="G90" s="253">
        <f>SUM(G91:G94)</f>
        <v>70173306.928333327</v>
      </c>
      <c r="H90" s="181" t="s">
        <v>270</v>
      </c>
      <c r="I90" s="254">
        <f>K90/G90</f>
        <v>0</v>
      </c>
      <c r="J90" s="255">
        <f t="shared" si="86"/>
        <v>1</v>
      </c>
      <c r="K90" s="256">
        <f>SUMIFS(K$19:K$168, $B$19:$B$168,$B90,$D$19:$D$168,$C90,$F$19:$F$168,"&lt;&gt;"&amp;$F90)</f>
        <v>0</v>
      </c>
      <c r="L90" s="257">
        <f t="shared" si="87"/>
        <v>70173306.928333327</v>
      </c>
      <c r="M90" s="462">
        <f>VLOOKUP($H90,'Cost Drivers'!$A$2:$R$66,2,FALSE)</f>
        <v>27071.666666666668</v>
      </c>
      <c r="N90" s="258">
        <f t="shared" si="88"/>
        <v>2592.1310199470536</v>
      </c>
      <c r="O90" s="256">
        <f>SUMIFS(O$19:O$168, $E$19:$E$168,$E90,$C$19:$C$168,"1100")+SUMIFS(O$19:O$168, $E$19:$E$168,$E90,$C$19:$C$168,"1200")+SUMIFS(O$19:O$168, $E$19:$E$168,$E90,$C$19:$C$168,"1300")+SUMIFS(O$19:O$168, $E$19:$E$168,$E90,$C$19:$C$168,"1400-1800")</f>
        <v>68807526.092222825</v>
      </c>
      <c r="P90" s="480">
        <f>VLOOKUP($H90,'Cost Drivers'!$A$2:$R$66,4,FALSE)</f>
        <v>26877</v>
      </c>
      <c r="Q90" s="264">
        <f>O90/P90</f>
        <v>2560.0895223508137</v>
      </c>
      <c r="R90" s="256">
        <f>SUMIFS(R$19:R$168, $E$19:$E$168,$E90,$C$19:$C$168,"1100")+SUMIFS(R$19:R$168, $E$19:$E$168,$E90,$C$19:$C$168,"1200")+SUMIFS(R$19:R$168, $E$19:$E$168,$E90,$C$19:$C$168,"1300")+SUMIFS(R$19:R$168, $E$19:$E$168,$E90,$C$19:$C$168,"1400-1800")</f>
        <v>67417604.044041678</v>
      </c>
      <c r="S90" s="182">
        <f>VLOOKUP($H90,'Cost Drivers'!$A$2:$R$66,6,FALSE)</f>
        <v>26100</v>
      </c>
      <c r="T90" s="264">
        <f>R90/S90</f>
        <v>2583.0499633732443</v>
      </c>
      <c r="U90" s="256">
        <f>SUMIFS(U$19:U$168, $E$19:$E$168,$E90,$C$19:$C$168,"1100")+SUMIFS(U$19:U$168, $E$19:$E$168,$E90,$C$19:$C$168,"1200")+SUMIFS(U$19:U$168, $E$19:$E$168,$E90,$C$19:$C$168,"1300")+SUMIFS(U$19:U$168, $E$19:$E$168,$E90,$C$19:$C$168,"1400-1800")</f>
        <v>68807526.092222825</v>
      </c>
      <c r="V90" s="182">
        <f>VLOOKUP($H90,'Cost Drivers'!$A$2:$R$66,8,FALSE)</f>
        <v>26683</v>
      </c>
      <c r="W90" s="264">
        <f>U90/V90</f>
        <v>2578.7027730098876</v>
      </c>
      <c r="X90" s="256">
        <f>SUMIFS(X$19:X$168, $E$19:$E$168,$E90,$C$19:$C$168,"1100")+SUMIFS(X$19:X$168, $E$19:$E$168,$E90,$C$19:$C$168,"1200")+SUMIFS(X$19:X$168, $E$19:$E$168,$E90,$C$19:$C$168,"1300")+SUMIFS(X$19:X$168, $E$19:$E$168,$E90,$C$19:$C$168,"1400-1800")</f>
        <v>66020945.359943151</v>
      </c>
      <c r="Y90" s="182">
        <f>VLOOKUP($H90,'Cost Drivers'!$A$2:$R$66,10,FALSE)</f>
        <v>25128</v>
      </c>
      <c r="Z90" s="264">
        <f>X90/Y90</f>
        <v>2627.3856001250856</v>
      </c>
      <c r="AA90" s="256">
        <f>SUMIFS(AA$19:AA$168, $E$19:$E$168,$E90,$C$19:$C$168,"1100")+SUMIFS(AA$19:AA$168, $E$19:$E$168,$E90,$C$19:$C$168,"1200")+SUMIFS(AA$19:AA$168, $E$19:$E$168,$E90,$C$19:$C$168,"1300")+SUMIFS(AA$19:AA$168, $E$19:$E$168,$E90,$C$19:$C$168,"1400-1800")</f>
        <v>68807526.092222825</v>
      </c>
      <c r="AB90" s="182">
        <f>VLOOKUP($H90,'Cost Drivers'!$A$2:$R$66,12,FALSE)</f>
        <v>26294</v>
      </c>
      <c r="AC90" s="264">
        <f>AA90/AB90</f>
        <v>2616.8527455778058</v>
      </c>
      <c r="AD90" s="256">
        <f>SUMIFS(AD$19:AD$168, $E$19:$E$168,$E90,$C$19:$C$168,"1100")+SUMIFS(AD$19:AD$168, $E$19:$E$168,$E90,$C$19:$C$168,"1200")+SUMIFS(AD$19:AD$168, $E$19:$E$168,$E90,$C$19:$C$168,"1300")+SUMIFS(AD$19:AD$168, $E$19:$E$168,$E90,$C$19:$C$168,"1400-1800")</f>
        <v>63282786.604983278</v>
      </c>
      <c r="AE90" s="182">
        <f>VLOOKUP($H90,'Cost Drivers'!$A$2:$R$66,14,FALSE)</f>
        <v>23184</v>
      </c>
      <c r="AF90" s="264">
        <f>AD90/AE90</f>
        <v>2729.5887942108038</v>
      </c>
      <c r="AG90" s="256">
        <f>SUMIFS(AG$19:AG$168, $E$19:$E$168,$E90,$C$19:$C$168,"1100")+SUMIFS(AG$19:AG$168, $E$19:$E$168,$E90,$C$19:$C$168,"1200")+SUMIFS(AG$19:AG$168, $E$19:$E$168,$E90,$C$19:$C$168,"1300")+SUMIFS(AG$19:AG$168, $E$19:$E$168,$E90,$C$19:$C$168,"1400-1800")</f>
        <v>68807526.092222825</v>
      </c>
      <c r="AH90" s="182">
        <f>VLOOKUP($H90,'Cost Drivers'!$A$2:$R$66,16,FALSE)</f>
        <v>25517</v>
      </c>
      <c r="AI90" s="264">
        <f>AG90/AH90</f>
        <v>2696.5366654474597</v>
      </c>
      <c r="AJ90" s="256">
        <f>SUMIFS(AJ$19:AJ$168, $E$19:$E$168,$E90,$C$19:$C$168,"1100")+SUMIFS(AJ$19:AJ$168, $E$19:$E$168,$E90,$C$19:$C$168,"1200")+SUMIFS(AJ$19:AJ$168, $E$19:$E$168,$E90,$C$19:$C$168,"1300")+SUMIFS(AJ$19:AJ$168, $E$19:$E$168,$E90,$C$19:$C$168,"1400-1800")</f>
        <v>57610725.407142766</v>
      </c>
      <c r="AK90" s="182">
        <f>VLOOKUP($H90,'Cost Drivers'!$A$2:$R$66,18,FALSE)</f>
        <v>19296</v>
      </c>
      <c r="AL90" s="264">
        <f>AJ90/AK90</f>
        <v>2985.6304626421415</v>
      </c>
      <c r="AM90" s="256">
        <f>SUMIFS(AM$19:AM$168, $E$19:$E$168,$E90,$C$19:$C$168,"1100")+SUMIFS(AM$19:AM$168, $E$19:$E$168,$E90,$C$19:$C$168,"1200")+SUMIFS(AM$19:AM$168, $E$19:$E$168,$E90,$C$19:$C$168,"1300")+SUMIFS(AM$19:AM$168, $E$19:$E$168,$E90,$C$19:$C$168,"1400-1800")</f>
        <v>68807526.092222825</v>
      </c>
      <c r="AN90" s="182">
        <f>VLOOKUP($H90,'Cost Drivers'!$A$3:$V$67,20,FALSE)</f>
        <v>27072</v>
      </c>
      <c r="AO90" s="264">
        <f>AM90/AN90</f>
        <v>2541.6491612079944</v>
      </c>
      <c r="AP90" s="256">
        <f>SUMIFS(AP$19:AP$168, $E$19:$E$168,$E90,$C$19:$C$168,"1100")+SUMIFS(AP$19:AP$168, $E$19:$E$168,$E90,$C$19:$C$168,"1200")+SUMIFS(AP$19:AP$168, $E$19:$E$168,$E90,$C$19:$C$168,"1300")+SUMIFS(AP$19:AP$168, $E$19:$E$168,$E90,$C$19:$C$168,"1400-1800")</f>
        <v>68814118.605616182</v>
      </c>
      <c r="AQ90" s="182">
        <f>VLOOKUP($H90,'Cost Drivers'!$A$3:$V$67,22,FALSE)</f>
        <v>27072</v>
      </c>
      <c r="AR90" s="264">
        <f>AP90/AQ90</f>
        <v>2541.8926789899592</v>
      </c>
    </row>
    <row r="91" spans="2:44" outlineLevel="1" x14ac:dyDescent="0.25">
      <c r="B91" s="260" t="s">
        <v>259</v>
      </c>
      <c r="C91" s="261" t="s">
        <v>239</v>
      </c>
      <c r="D91" s="182">
        <f t="shared" si="141"/>
        <v>1000</v>
      </c>
      <c r="E91" s="262" t="s">
        <v>230</v>
      </c>
      <c r="F91" s="262" t="s">
        <v>175</v>
      </c>
      <c r="G91" s="287">
        <v>59972524.586666666</v>
      </c>
      <c r="H91" s="180" t="s">
        <v>327</v>
      </c>
      <c r="I91" s="150">
        <v>0</v>
      </c>
      <c r="J91" s="255">
        <f t="shared" si="86"/>
        <v>1</v>
      </c>
      <c r="K91" s="263">
        <f>G91*I91</f>
        <v>0</v>
      </c>
      <c r="L91" s="257">
        <f t="shared" si="87"/>
        <v>59972524.586666666</v>
      </c>
      <c r="M91" s="462">
        <f>VLOOKUP($H91,'Cost Drivers'!$A$2:$R$66,2,FALSE)</f>
        <v>1275.8533333333335</v>
      </c>
      <c r="N91" s="258">
        <f t="shared" si="88"/>
        <v>47005.814085213548</v>
      </c>
      <c r="O91" s="187">
        <f>P91*Q91</f>
        <v>58663255.978346504</v>
      </c>
      <c r="P91" s="480">
        <f>VLOOKUP($H91,'Cost Drivers'!$A$2:$R$66,4,FALSE)</f>
        <v>1248</v>
      </c>
      <c r="Q91" s="264">
        <f>$N91</f>
        <v>47005.814085213548</v>
      </c>
      <c r="R91" s="187">
        <f>S91*T91</f>
        <v>57535116.440301381</v>
      </c>
      <c r="S91" s="182">
        <f>VLOOKUP($H91,'Cost Drivers'!$A$2:$R$66,6,FALSE)</f>
        <v>1224</v>
      </c>
      <c r="T91" s="264">
        <f>$N91</f>
        <v>47005.814085213548</v>
      </c>
      <c r="U91" s="187">
        <f>V91*W91</f>
        <v>58663255.978346504</v>
      </c>
      <c r="V91" s="182">
        <f>VLOOKUP($H91,'Cost Drivers'!$A$2:$R$66,8,FALSE)</f>
        <v>1248</v>
      </c>
      <c r="W91" s="264">
        <f>$N91</f>
        <v>47005.814085213548</v>
      </c>
      <c r="X91" s="187">
        <f>Y91*Z91</f>
        <v>56312965.274085827</v>
      </c>
      <c r="Y91" s="182">
        <f>VLOOKUP($H91,'Cost Drivers'!$A$2:$R$66,10,FALSE)</f>
        <v>1198</v>
      </c>
      <c r="Z91" s="264">
        <f>$N91</f>
        <v>47005.814085213548</v>
      </c>
      <c r="AA91" s="187">
        <f>AB91*AC91</f>
        <v>58663255.978346504</v>
      </c>
      <c r="AB91" s="182">
        <f>VLOOKUP($H91,'Cost Drivers'!$A$2:$R$66,12,FALSE)</f>
        <v>1248</v>
      </c>
      <c r="AC91" s="264">
        <f>$N91</f>
        <v>47005.814085213548</v>
      </c>
      <c r="AD91" s="187">
        <f>AE91*AF91</f>
        <v>53868662.941654727</v>
      </c>
      <c r="AE91" s="182">
        <f>VLOOKUP($H91,'Cost Drivers'!$A$2:$R$66,14,FALSE)</f>
        <v>1146</v>
      </c>
      <c r="AF91" s="264">
        <f>$N91</f>
        <v>47005.814085213548</v>
      </c>
      <c r="AG91" s="187">
        <f>AH91*AI91</f>
        <v>58663255.978346504</v>
      </c>
      <c r="AH91" s="182">
        <f>VLOOKUP($H91,'Cost Drivers'!$A$2:$R$66,16,FALSE)</f>
        <v>1248</v>
      </c>
      <c r="AI91" s="264">
        <f>$N91</f>
        <v>47005.814085213548</v>
      </c>
      <c r="AJ91" s="187">
        <f>AK91*AL91</f>
        <v>48839040.834536873</v>
      </c>
      <c r="AK91" s="182">
        <f>VLOOKUP($H91,'Cost Drivers'!$A$2:$R$66,18,FALSE)</f>
        <v>1039</v>
      </c>
      <c r="AL91" s="264">
        <f>$N91</f>
        <v>47005.814085213548</v>
      </c>
      <c r="AM91" s="187">
        <f>AN91*AO91</f>
        <v>58663255.978346504</v>
      </c>
      <c r="AN91" s="182">
        <f>VLOOKUP($H91,'Cost Drivers'!$A$3:$V$67,20,FALSE)</f>
        <v>1248</v>
      </c>
      <c r="AO91" s="264">
        <f>$N91</f>
        <v>47005.814085213548</v>
      </c>
      <c r="AP91" s="187">
        <f>AQ91*AR91</f>
        <v>58757267.606516935</v>
      </c>
      <c r="AQ91" s="182">
        <f>VLOOKUP($H91,'Cost Drivers'!$A$3:$V$67,22,FALSE)</f>
        <v>1250</v>
      </c>
      <c r="AR91" s="264">
        <f>$N91</f>
        <v>47005.814085213548</v>
      </c>
    </row>
    <row r="92" spans="2:44" outlineLevel="1" x14ac:dyDescent="0.25">
      <c r="B92" s="260" t="s">
        <v>259</v>
      </c>
      <c r="C92" s="261" t="s">
        <v>240</v>
      </c>
      <c r="D92" s="182">
        <f t="shared" si="141"/>
        <v>1000</v>
      </c>
      <c r="E92" s="262" t="s">
        <v>230</v>
      </c>
      <c r="F92" s="262" t="s">
        <v>193</v>
      </c>
      <c r="G92" s="287">
        <v>6180982.2683333335</v>
      </c>
      <c r="H92" s="180" t="s">
        <v>328</v>
      </c>
      <c r="I92" s="135">
        <v>0</v>
      </c>
      <c r="J92" s="255">
        <f t="shared" si="86"/>
        <v>1</v>
      </c>
      <c r="K92" s="263">
        <f>G92*I92</f>
        <v>0</v>
      </c>
      <c r="L92" s="257">
        <f t="shared" si="87"/>
        <v>6180982.2683333335</v>
      </c>
      <c r="M92" s="462">
        <f>VLOOKUP($H92,'Cost Drivers'!$A$2:$R$66,2,FALSE)</f>
        <v>112.05833333333334</v>
      </c>
      <c r="N92" s="258">
        <f t="shared" si="88"/>
        <v>55158.613237153266</v>
      </c>
      <c r="O92" s="187">
        <f>P92*Q92</f>
        <v>6177764.6825611657</v>
      </c>
      <c r="P92" s="480">
        <f>VLOOKUP($H92,'Cost Drivers'!$A$2:$R$66,4,FALSE)</f>
        <v>112</v>
      </c>
      <c r="Q92" s="264">
        <f t="shared" ref="Q92:Q94" si="142">$N92</f>
        <v>55158.613237153266</v>
      </c>
      <c r="R92" s="187">
        <f>S92*T92</f>
        <v>5901971.6163753998</v>
      </c>
      <c r="S92" s="182">
        <f>VLOOKUP($H92,'Cost Drivers'!$A$2:$R$66,6,FALSE)</f>
        <v>107</v>
      </c>
      <c r="T92" s="264">
        <f t="shared" ref="T92:T94" si="143">$N92</f>
        <v>55158.613237153266</v>
      </c>
      <c r="U92" s="187">
        <f>V92*W92</f>
        <v>6177764.6825611657</v>
      </c>
      <c r="V92" s="182">
        <f>VLOOKUP($H92,'Cost Drivers'!$A$2:$R$66,8,FALSE)</f>
        <v>112</v>
      </c>
      <c r="W92" s="264">
        <f t="shared" ref="W92:W94" si="144">$N92</f>
        <v>55158.613237153266</v>
      </c>
      <c r="X92" s="187">
        <f>Y92*Z92</f>
        <v>5736495.7766639395</v>
      </c>
      <c r="Y92" s="182">
        <f>VLOOKUP($H92,'Cost Drivers'!$A$2:$R$66,10,FALSE)</f>
        <v>104</v>
      </c>
      <c r="Z92" s="264">
        <f t="shared" ref="Z92:Z94" si="145">$N92</f>
        <v>55158.613237153266</v>
      </c>
      <c r="AA92" s="187">
        <f>AB92*AC92</f>
        <v>6177764.6825611657</v>
      </c>
      <c r="AB92" s="182">
        <f>VLOOKUP($H92,'Cost Drivers'!$A$2:$R$66,12,FALSE)</f>
        <v>112</v>
      </c>
      <c r="AC92" s="264">
        <f t="shared" ref="AC92:AC94" si="146">$N92</f>
        <v>55158.613237153266</v>
      </c>
      <c r="AD92" s="187">
        <f>AE92*AF92</f>
        <v>5460702.7104781736</v>
      </c>
      <c r="AE92" s="182">
        <f>VLOOKUP($H92,'Cost Drivers'!$A$2:$R$66,14,FALSE)</f>
        <v>99</v>
      </c>
      <c r="AF92" s="264">
        <f t="shared" ref="AF92:AF94" si="147">$N92</f>
        <v>55158.613237153266</v>
      </c>
      <c r="AG92" s="187">
        <f>AH92*AI92</f>
        <v>6177764.6825611657</v>
      </c>
      <c r="AH92" s="182">
        <f>VLOOKUP($H92,'Cost Drivers'!$A$2:$R$66,16,FALSE)</f>
        <v>112</v>
      </c>
      <c r="AI92" s="264">
        <f t="shared" ref="AI92:AI94" si="148">$N92</f>
        <v>55158.613237153266</v>
      </c>
      <c r="AJ92" s="187">
        <f>AK92*AL92</f>
        <v>4853957.9648694871</v>
      </c>
      <c r="AK92" s="182">
        <f>VLOOKUP($H92,'Cost Drivers'!$A$2:$R$66,18,FALSE)</f>
        <v>88</v>
      </c>
      <c r="AL92" s="264">
        <f t="shared" ref="AL92:AL94" si="149">$N92</f>
        <v>55158.613237153266</v>
      </c>
      <c r="AM92" s="187">
        <f>AN92*AO92</f>
        <v>6177764.6825611657</v>
      </c>
      <c r="AN92" s="182">
        <f>VLOOKUP($H92,'Cost Drivers'!$A$3:$V$67,20,FALSE)</f>
        <v>112</v>
      </c>
      <c r="AO92" s="264">
        <f t="shared" ref="AO92:AO94" si="150">$N92</f>
        <v>55158.613237153266</v>
      </c>
      <c r="AP92" s="187">
        <f>AQ92*AR92</f>
        <v>6067447.4560868591</v>
      </c>
      <c r="AQ92" s="182">
        <f>VLOOKUP($H92,'Cost Drivers'!$A$3:$V$67,22,FALSE)</f>
        <v>110</v>
      </c>
      <c r="AR92" s="264">
        <f t="shared" ref="AR92:AR94" si="151">$N92</f>
        <v>55158.613237153266</v>
      </c>
    </row>
    <row r="93" spans="2:44" outlineLevel="1" x14ac:dyDescent="0.25">
      <c r="B93" s="260" t="s">
        <v>259</v>
      </c>
      <c r="C93" s="261" t="s">
        <v>241</v>
      </c>
      <c r="D93" s="182">
        <f t="shared" si="141"/>
        <v>1000</v>
      </c>
      <c r="E93" s="262" t="s">
        <v>230</v>
      </c>
      <c r="F93" s="262" t="s">
        <v>197</v>
      </c>
      <c r="G93" s="287">
        <v>390948.36000000004</v>
      </c>
      <c r="H93" s="180" t="s">
        <v>536</v>
      </c>
      <c r="I93" s="135">
        <v>0</v>
      </c>
      <c r="J93" s="255">
        <f t="shared" si="86"/>
        <v>1</v>
      </c>
      <c r="K93" s="263">
        <f>G93*I93</f>
        <v>0</v>
      </c>
      <c r="L93" s="257">
        <f t="shared" si="87"/>
        <v>390948.36000000004</v>
      </c>
      <c r="M93" s="462">
        <f>VLOOKUP($H93,'Cost Drivers'!$A$2:$R$66,2,FALSE)</f>
        <v>8137.833333333333</v>
      </c>
      <c r="N93" s="258">
        <f t="shared" si="88"/>
        <v>48.040841337784428</v>
      </c>
      <c r="O93" s="187">
        <f>P93*Q93</f>
        <v>379466.59892026958</v>
      </c>
      <c r="P93" s="480">
        <f>VLOOKUP($H93,'Cost Drivers'!$A$2:$R$66,4,FALSE)</f>
        <v>7898.8333333333339</v>
      </c>
      <c r="Q93" s="264">
        <f t="shared" si="142"/>
        <v>48.040841337784428</v>
      </c>
      <c r="R93" s="187">
        <f>S93*T93</f>
        <v>357519.94123579172</v>
      </c>
      <c r="S93" s="182">
        <f>VLOOKUP($H93,'Cost Drivers'!$A$2:$R$66,6,FALSE)</f>
        <v>7442</v>
      </c>
      <c r="T93" s="264">
        <f t="shared" si="143"/>
        <v>48.040841337784428</v>
      </c>
      <c r="U93" s="187">
        <f>V93*W93</f>
        <v>379466.59892026958</v>
      </c>
      <c r="V93" s="182">
        <f>VLOOKUP($H93,'Cost Drivers'!$A$2:$R$66,8,FALSE)</f>
        <v>7898.8333333333339</v>
      </c>
      <c r="W93" s="264">
        <f t="shared" si="144"/>
        <v>48.040841337784428</v>
      </c>
      <c r="X93" s="187">
        <f>Y93*Z93</f>
        <v>348488.26306428824</v>
      </c>
      <c r="Y93" s="182">
        <f>VLOOKUP($H93,'Cost Drivers'!$A$2:$R$66,10,FALSE)</f>
        <v>7254</v>
      </c>
      <c r="Z93" s="264">
        <f t="shared" si="145"/>
        <v>48.040841337784428</v>
      </c>
      <c r="AA93" s="187">
        <f>AB93*AC93</f>
        <v>379466.59892026958</v>
      </c>
      <c r="AB93" s="182">
        <f>VLOOKUP($H93,'Cost Drivers'!$A$2:$R$66,12,FALSE)</f>
        <v>7898.8333333333339</v>
      </c>
      <c r="AC93" s="264">
        <f t="shared" si="146"/>
        <v>48.040841337784428</v>
      </c>
      <c r="AD93" s="187">
        <f>AE93*AF93</f>
        <v>330424.9067212813</v>
      </c>
      <c r="AE93" s="182">
        <f>VLOOKUP($H93,'Cost Drivers'!$A$2:$R$66,14,FALSE)</f>
        <v>6878</v>
      </c>
      <c r="AF93" s="264">
        <f t="shared" si="147"/>
        <v>48.040841337784428</v>
      </c>
      <c r="AG93" s="187">
        <f>AH93*AI93</f>
        <v>379466.59892026958</v>
      </c>
      <c r="AH93" s="182">
        <f>VLOOKUP($H93,'Cost Drivers'!$A$2:$R$66,16,FALSE)</f>
        <v>7898.8333333333339</v>
      </c>
      <c r="AI93" s="264">
        <f t="shared" si="148"/>
        <v>48.040841337784428</v>
      </c>
      <c r="AJ93" s="187">
        <f>AK93*AL93</f>
        <v>294730.56160730746</v>
      </c>
      <c r="AK93" s="182">
        <f>VLOOKUP($H93,'Cost Drivers'!$A$2:$R$66,18,FALSE)</f>
        <v>6135</v>
      </c>
      <c r="AL93" s="264">
        <f t="shared" si="149"/>
        <v>48.040841337784428</v>
      </c>
      <c r="AM93" s="187">
        <f>AN93*AO93</f>
        <v>379466.59892026958</v>
      </c>
      <c r="AN93" s="182">
        <f>VLOOKUP($H93,'Cost Drivers'!$A$3:$V$67,20,FALSE)</f>
        <v>7898.8333333333339</v>
      </c>
      <c r="AO93" s="264">
        <f t="shared" si="150"/>
        <v>48.040841337784428</v>
      </c>
      <c r="AP93" s="187">
        <f>AQ93*AR93</f>
        <v>366407.49688328186</v>
      </c>
      <c r="AQ93" s="182">
        <f>VLOOKUP($H93,'Cost Drivers'!$A$3:$V$67,22,FALSE)</f>
        <v>7627</v>
      </c>
      <c r="AR93" s="264">
        <f t="shared" si="151"/>
        <v>48.040841337784428</v>
      </c>
    </row>
    <row r="94" spans="2:44" outlineLevel="1" x14ac:dyDescent="0.25">
      <c r="B94" s="260" t="s">
        <v>259</v>
      </c>
      <c r="C94" s="261" t="s">
        <v>232</v>
      </c>
      <c r="D94" s="182">
        <f t="shared" si="141"/>
        <v>1000</v>
      </c>
      <c r="E94" s="262" t="s">
        <v>230</v>
      </c>
      <c r="F94" s="262" t="s">
        <v>233</v>
      </c>
      <c r="G94" s="287">
        <v>3628851.7133333352</v>
      </c>
      <c r="H94" s="180" t="s">
        <v>531</v>
      </c>
      <c r="I94" s="135">
        <v>0</v>
      </c>
      <c r="J94" s="255">
        <f t="shared" si="86"/>
        <v>1</v>
      </c>
      <c r="K94" s="263">
        <f>G94*I94</f>
        <v>0</v>
      </c>
      <c r="L94" s="257">
        <f t="shared" si="87"/>
        <v>3628851.7133333352</v>
      </c>
      <c r="M94" s="462">
        <f>VLOOKUP($H94,'Cost Drivers'!$A$2:$R$66,2,FALSE)</f>
        <v>38938.833333333328</v>
      </c>
      <c r="N94" s="258">
        <f t="shared" si="88"/>
        <v>93.193642507693752</v>
      </c>
      <c r="O94" s="187">
        <f>P94*Q94</f>
        <v>3587038.8323948844</v>
      </c>
      <c r="P94" s="480">
        <f>VLOOKUP($H94,'Cost Drivers'!$A$2:$R$66,4,FALSE)</f>
        <v>38490.166666666672</v>
      </c>
      <c r="Q94" s="264">
        <f t="shared" si="142"/>
        <v>93.193642507693752</v>
      </c>
      <c r="R94" s="187">
        <f>S94*T94</f>
        <v>3622996.0461291024</v>
      </c>
      <c r="S94" s="182">
        <f>VLOOKUP($H94,'Cost Drivers'!$A$2:$R$66,6,FALSE)</f>
        <v>38876</v>
      </c>
      <c r="T94" s="264">
        <f t="shared" si="143"/>
        <v>93.193642507693752</v>
      </c>
      <c r="U94" s="187">
        <f>V94*W94</f>
        <v>3587038.8323948844</v>
      </c>
      <c r="V94" s="182">
        <f>VLOOKUP($H94,'Cost Drivers'!$A$2:$R$66,8,FALSE)</f>
        <v>38490.166666666672</v>
      </c>
      <c r="W94" s="264">
        <f t="shared" si="144"/>
        <v>93.193642507693752</v>
      </c>
      <c r="X94" s="187">
        <f>Y94*Z94</f>
        <v>3622996.0461291024</v>
      </c>
      <c r="Y94" s="182">
        <f>VLOOKUP($H94,'Cost Drivers'!$A$2:$R$66,10,FALSE)</f>
        <v>38876</v>
      </c>
      <c r="Z94" s="264">
        <f t="shared" si="145"/>
        <v>93.193642507693752</v>
      </c>
      <c r="AA94" s="187">
        <f>AB94*AC94</f>
        <v>3587038.8323948844</v>
      </c>
      <c r="AB94" s="182">
        <f>VLOOKUP($H94,'Cost Drivers'!$A$2:$R$66,12,FALSE)</f>
        <v>38490.166666666672</v>
      </c>
      <c r="AC94" s="264">
        <f t="shared" si="146"/>
        <v>93.193642507693752</v>
      </c>
      <c r="AD94" s="187">
        <f>AE94*AF94</f>
        <v>3622996.0461291024</v>
      </c>
      <c r="AE94" s="182">
        <f>VLOOKUP($H94,'Cost Drivers'!$A$2:$R$66,14,FALSE)</f>
        <v>38876</v>
      </c>
      <c r="AF94" s="264">
        <f t="shared" si="147"/>
        <v>93.193642507693752</v>
      </c>
      <c r="AG94" s="187">
        <f>AH94*AI94</f>
        <v>3587038.8323948844</v>
      </c>
      <c r="AH94" s="182">
        <f>VLOOKUP($H94,'Cost Drivers'!$A$2:$R$66,16,FALSE)</f>
        <v>38490.166666666672</v>
      </c>
      <c r="AI94" s="264">
        <f t="shared" si="148"/>
        <v>93.193642507693752</v>
      </c>
      <c r="AJ94" s="187">
        <f>AK94*AL94</f>
        <v>3622996.0461291024</v>
      </c>
      <c r="AK94" s="182">
        <f>VLOOKUP($H94,'Cost Drivers'!$A$2:$R$66,18,FALSE)</f>
        <v>38876</v>
      </c>
      <c r="AL94" s="264">
        <f t="shared" si="149"/>
        <v>93.193642507693752</v>
      </c>
      <c r="AM94" s="187">
        <f>AN94*AO94</f>
        <v>3587038.8323948844</v>
      </c>
      <c r="AN94" s="182">
        <f>VLOOKUP($H94,'Cost Drivers'!$A$3:$V$67,20,FALSE)</f>
        <v>38490.166666666672</v>
      </c>
      <c r="AO94" s="264">
        <f t="shared" si="150"/>
        <v>93.193642507693752</v>
      </c>
      <c r="AP94" s="187">
        <f>AQ94*AR94</f>
        <v>3622996.0461291024</v>
      </c>
      <c r="AQ94" s="182">
        <f>VLOOKUP($H94,'Cost Drivers'!$A$3:$V$67,22,FALSE)</f>
        <v>38876</v>
      </c>
      <c r="AR94" s="264">
        <f t="shared" si="151"/>
        <v>93.193642507693752</v>
      </c>
    </row>
    <row r="95" spans="2:44" outlineLevel="1" x14ac:dyDescent="0.25">
      <c r="B95" s="250" t="s">
        <v>259</v>
      </c>
      <c r="C95" s="251" t="s">
        <v>242</v>
      </c>
      <c r="D95" s="182">
        <f t="shared" si="141"/>
        <v>2000</v>
      </c>
      <c r="E95" s="252" t="s">
        <v>230</v>
      </c>
      <c r="F95" s="252" t="s">
        <v>237</v>
      </c>
      <c r="G95" s="253">
        <f>SUM(G96:G104)</f>
        <v>30934742.393333338</v>
      </c>
      <c r="H95" s="181" t="s">
        <v>270</v>
      </c>
      <c r="I95" s="254">
        <f>K95/G95</f>
        <v>0</v>
      </c>
      <c r="J95" s="255">
        <f t="shared" si="86"/>
        <v>1</v>
      </c>
      <c r="K95" s="256">
        <f>SUMIFS(K$19:K$168, $B$19:$B$168,$B95,$D$19:$D$168,$C95,$F$19:$F$168,"&lt;&gt;"&amp;$F95)</f>
        <v>0</v>
      </c>
      <c r="L95" s="257">
        <f t="shared" si="87"/>
        <v>30934742.393333338</v>
      </c>
      <c r="M95" s="462">
        <f>VLOOKUP($H95,'Cost Drivers'!$A$2:$R$66,2,FALSE)</f>
        <v>27071.666666666668</v>
      </c>
      <c r="N95" s="258">
        <f t="shared" si="88"/>
        <v>1142.698112171397</v>
      </c>
      <c r="O95" s="256">
        <f>SUMIFS(O$19:O$168, $E$19:$E$168,$E95,$C$19:$C$168,"2100")+SUMIFS(O$19:O$168, $E$19:$E$168,$E95,$C$19:$C$168,"2200")+SUMIFS(O$19:O$168, $E$19:$E$168,$E95,$C$19:$C$168,"2300")+SUMIFS(O$19:O$168, $E$19:$E$168,$E95,$C$19:$C$168,"2400")+SUMIFS(O$19:O$168, $E$19:$E$168,$E95,$C$19:$C$168,"2500")+SUMIFS(O$19:O$168, $E$19:$E$168,$E95,$C$19:$C$168,"2600")+SUMIFS(O$19:O$168, $E$19:$E$168,$E95,$C$19:$C$168,"2700")+SUMIFS(O$19:O$168, $E$19:$E$168,$E95,$C$19:$C$168,"2800")+SUMIFS(O$19:O$168, $E$19:$E$168,$E95,$C$19:$C$168,"2900")</f>
        <v>30612019.190220002</v>
      </c>
      <c r="P95" s="480">
        <f>VLOOKUP($H95,'Cost Drivers'!$A$2:$R$66,4,FALSE)</f>
        <v>26877</v>
      </c>
      <c r="Q95" s="264">
        <f>O95/P95</f>
        <v>1138.9671165018417</v>
      </c>
      <c r="R95" s="256">
        <f>SUMIFS(R$19:R$168, $E$19:$E$168,$E95,$C$19:$C$168,"2100")+SUMIFS(R$19:R$168, $E$19:$E$168,$E95,$C$19:$C$168,"2200")+SUMIFS(R$19:R$168, $E$19:$E$168,$E95,$C$19:$C$168,"2300")+SUMIFS(R$19:R$168, $E$19:$E$168,$E95,$C$19:$C$168,"2400")+SUMIFS(R$19:R$168, $E$19:$E$168,$E95,$C$19:$C$168,"2500")+SUMIFS(R$19:R$168, $E$19:$E$168,$E95,$C$19:$C$168,"2600")+SUMIFS(R$19:R$168, $E$19:$E$168,$E95,$C$19:$C$168,"2700")+SUMIFS(R$19:R$168, $E$19:$E$168,$E95,$C$19:$C$168,"2800")+SUMIFS(R$19:R$168, $E$19:$E$168,$E95,$C$19:$C$168,"2900")</f>
        <v>29875345.524236895</v>
      </c>
      <c r="S95" s="182">
        <f>VLOOKUP($H95,'Cost Drivers'!$A$2:$R$66,6,FALSE)</f>
        <v>26100</v>
      </c>
      <c r="T95" s="264">
        <f>R95/S95</f>
        <v>1144.6492538021798</v>
      </c>
      <c r="U95" s="256">
        <f>SUMIFS(U$19:U$168, $E$19:$E$168,$E95,$C$19:$C$168,"2100")+SUMIFS(U$19:U$168, $E$19:$E$168,$E95,$C$19:$C$168,"2200")+SUMIFS(U$19:U$168, $E$19:$E$168,$E95,$C$19:$C$168,"2300")+SUMIFS(U$19:U$168, $E$19:$E$168,$E95,$C$19:$C$168,"2400")+SUMIFS(U$19:U$168, $E$19:$E$168,$E95,$C$19:$C$168,"2500")+SUMIFS(U$19:U$168, $E$19:$E$168,$E95,$C$19:$C$168,"2600")+SUMIFS(U$19:U$168, $E$19:$E$168,$E95,$C$19:$C$168,"2700")+SUMIFS(U$19:U$168, $E$19:$E$168,$E95,$C$19:$C$168,"2800")+SUMIFS(U$19:U$168, $E$19:$E$168,$E95,$C$19:$C$168,"2900")</f>
        <v>30421853.90521957</v>
      </c>
      <c r="V95" s="182">
        <f>VLOOKUP($H95,'Cost Drivers'!$A$2:$R$66,8,FALSE)</f>
        <v>26683</v>
      </c>
      <c r="W95" s="264">
        <f>U95/V95</f>
        <v>1140.1211972124413</v>
      </c>
      <c r="X95" s="256">
        <f>SUMIFS(X$19:X$168, $E$19:$E$168,$E95,$C$19:$C$168,"2100")+SUMIFS(X$19:X$168, $E$19:$E$168,$E95,$C$19:$C$168,"2200")+SUMIFS(X$19:X$168, $E$19:$E$168,$E95,$C$19:$C$168,"2300")+SUMIFS(X$19:X$168, $E$19:$E$168,$E95,$C$19:$C$168,"2400")+SUMIFS(X$19:X$168, $E$19:$E$168,$E95,$C$19:$C$168,"2500")+SUMIFS(X$19:X$168, $E$19:$E$168,$E95,$C$19:$C$168,"2600")+SUMIFS(X$19:X$168, $E$19:$E$168,$E95,$C$19:$C$168,"2700")+SUMIFS(X$19:X$168, $E$19:$E$168,$E95,$C$19:$C$168,"2800")+SUMIFS(X$19:X$168, $E$19:$E$168,$E95,$C$19:$C$168,"2900")</f>
        <v>29117652.147097386</v>
      </c>
      <c r="Y95" s="182">
        <f>VLOOKUP($H95,'Cost Drivers'!$A$2:$R$66,10,FALSE)</f>
        <v>25128</v>
      </c>
      <c r="Z95" s="264">
        <f>X95/Y95</f>
        <v>1158.7731672674859</v>
      </c>
      <c r="AA95" s="256">
        <f>SUMIFS(AA$19:AA$168, $E$19:$E$168,$E95,$C$19:$C$168,"2100")+SUMIFS(AA$19:AA$168, $E$19:$E$168,$E95,$C$19:$C$168,"2200")+SUMIFS(AA$19:AA$168, $E$19:$E$168,$E95,$C$19:$C$168,"2300")+SUMIFS(AA$19:AA$168, $E$19:$E$168,$E95,$C$19:$C$168,"2400")+SUMIFS(AA$19:AA$168, $E$19:$E$168,$E95,$C$19:$C$168,"2500")+SUMIFS(AA$19:AA$168, $E$19:$E$168,$E95,$C$19:$C$168,"2600")+SUMIFS(AA$19:AA$168, $E$19:$E$168,$E95,$C$19:$C$168,"2700")+SUMIFS(AA$19:AA$168, $E$19:$E$168,$E95,$C$19:$C$168,"2800")+SUMIFS(AA$19:AA$168, $E$19:$E$168,$E95,$C$19:$C$168,"2900")</f>
        <v>30099150.110745572</v>
      </c>
      <c r="AB95" s="182">
        <f>VLOOKUP($H95,'Cost Drivers'!$A$2:$R$66,12,FALSE)</f>
        <v>26294</v>
      </c>
      <c r="AC95" s="264">
        <f>AA95/AB95</f>
        <v>1144.7155286660673</v>
      </c>
      <c r="AD95" s="256">
        <f>SUMIFS(AD$19:AD$168, $E$19:$E$168,$E95,$C$19:$C$168,"2100")+SUMIFS(AD$19:AD$168, $E$19:$E$168,$E95,$C$19:$C$168,"2200")+SUMIFS(AD$19:AD$168, $E$19:$E$168,$E95,$C$19:$C$168,"2300")+SUMIFS(AD$19:AD$168, $E$19:$E$168,$E95,$C$19:$C$168,"2400")+SUMIFS(AD$19:AD$168, $E$19:$E$168,$E95,$C$19:$C$168,"2500")+SUMIFS(AD$19:AD$168, $E$19:$E$168,$E95,$C$19:$C$168,"2600")+SUMIFS(AD$19:AD$168, $E$19:$E$168,$E95,$C$19:$C$168,"2700")+SUMIFS(AD$19:AD$168, $E$19:$E$168,$E95,$C$19:$C$168,"2800")+SUMIFS(AD$19:AD$168, $E$19:$E$168,$E95,$C$19:$C$168,"2900")</f>
        <v>27309960.251028754</v>
      </c>
      <c r="AE95" s="182">
        <f>VLOOKUP($H95,'Cost Drivers'!$A$2:$R$66,14,FALSE)</f>
        <v>23184</v>
      </c>
      <c r="AF95" s="264">
        <f>AD95/AE95</f>
        <v>1177.9658493369891</v>
      </c>
      <c r="AG95" s="256">
        <f>SUMIFS(AG$19:AG$168, $E$19:$E$168,$E95,$C$19:$C$168,"2100")+SUMIFS(AG$19:AG$168, $E$19:$E$168,$E95,$C$19:$C$168,"2200")+SUMIFS(AG$19:AG$168, $E$19:$E$168,$E95,$C$19:$C$168,"2300")+SUMIFS(AG$19:AG$168, $E$19:$E$168,$E95,$C$19:$C$168,"2400")+SUMIFS(AG$19:AG$168, $E$19:$E$168,$E95,$C$19:$C$168,"2500")+SUMIFS(AG$19:AG$168, $E$19:$E$168,$E95,$C$19:$C$168,"2600")+SUMIFS(AG$19:AG$168, $E$19:$E$168,$E95,$C$19:$C$168,"2700")+SUMIFS(AG$19:AG$168, $E$19:$E$168,$E95,$C$19:$C$168,"2800")+SUMIFS(AG$19:AG$168, $E$19:$E$168,$E95,$C$19:$C$168,"2900")</f>
        <v>29512728.666652374</v>
      </c>
      <c r="AH95" s="182">
        <f>VLOOKUP($H95,'Cost Drivers'!$A$2:$R$66,16,FALSE)</f>
        <v>25517</v>
      </c>
      <c r="AI95" s="264">
        <f>AG95/AH95</f>
        <v>1156.5908479308844</v>
      </c>
      <c r="AJ95" s="256">
        <f>SUMIFS(AJ$19:AJ$168, $E$19:$E$168,$E95,$C$19:$C$168,"2100")+SUMIFS(AJ$19:AJ$168, $E$19:$E$168,$E95,$C$19:$C$168,"2200")+SUMIFS(AJ$19:AJ$168, $E$19:$E$168,$E95,$C$19:$C$168,"2300")+SUMIFS(AJ$19:AJ$168, $E$19:$E$168,$E95,$C$19:$C$168,"2400")+SUMIFS(AJ$19:AJ$168, $E$19:$E$168,$E95,$C$19:$C$168,"2500")+SUMIFS(AJ$19:AJ$168, $E$19:$E$168,$E95,$C$19:$C$168,"2600")+SUMIFS(AJ$19:AJ$168, $E$19:$E$168,$E95,$C$19:$C$168,"2700")+SUMIFS(AJ$19:AJ$168, $E$19:$E$168,$E95,$C$19:$C$168,"2800")+SUMIFS(AJ$19:AJ$168, $E$19:$E$168,$E95,$C$19:$C$168,"2900")</f>
        <v>23865834.826643098</v>
      </c>
      <c r="AK95" s="182">
        <f>VLOOKUP($H95,'Cost Drivers'!$A$2:$R$66,18,FALSE)</f>
        <v>19296</v>
      </c>
      <c r="AL95" s="264">
        <f>AJ95/AK95</f>
        <v>1236.828090103809</v>
      </c>
      <c r="AM95" s="256">
        <f>SUMIFS(AM$19:AM$168, $E$19:$E$168,$E95,$C$19:$C$168,"2100")+SUMIFS(AM$19:AM$168, $E$19:$E$168,$E95,$C$19:$C$168,"2200")+SUMIFS(AM$19:AM$168, $E$19:$E$168,$E95,$C$19:$C$168,"2300")+SUMIFS(AM$19:AM$168, $E$19:$E$168,$E95,$C$19:$C$168,"2400")+SUMIFS(AM$19:AM$168, $E$19:$E$168,$E95,$C$19:$C$168,"2500")+SUMIFS(AM$19:AM$168, $E$19:$E$168,$E95,$C$19:$C$168,"2600")+SUMIFS(AM$19:AM$168, $E$19:$E$168,$E95,$C$19:$C$168,"2700")+SUMIFS(AM$19:AM$168, $E$19:$E$168,$E95,$C$19:$C$168,"2800")+SUMIFS(AM$19:AM$168, $E$19:$E$168,$E95,$C$19:$C$168,"2900")</f>
        <v>30761657.123818606</v>
      </c>
      <c r="AN95" s="182">
        <f>VLOOKUP($H95,'Cost Drivers'!$A$3:$V$67,20,FALSE)</f>
        <v>27072</v>
      </c>
      <c r="AO95" s="264">
        <f>AM95/AN95</f>
        <v>1136.2905261457818</v>
      </c>
      <c r="AP95" s="256">
        <f>SUMIFS(AP$19:AP$168, $E$19:$E$168,$E95,$C$19:$C$168,"2100")+SUMIFS(AP$19:AP$168, $E$19:$E$168,$E95,$C$19:$C$168,"2200")+SUMIFS(AP$19:AP$168, $E$19:$E$168,$E95,$C$19:$C$168,"2300")+SUMIFS(AP$19:AP$168, $E$19:$E$168,$E95,$C$19:$C$168,"2400")+SUMIFS(AP$19:AP$168, $E$19:$E$168,$E95,$C$19:$C$168,"2500")+SUMIFS(AP$19:AP$168, $E$19:$E$168,$E95,$C$19:$C$168,"2600")+SUMIFS(AP$19:AP$168, $E$19:$E$168,$E95,$C$19:$C$168,"2700")+SUMIFS(AP$19:AP$168, $E$19:$E$168,$E95,$C$19:$C$168,"2800")+SUMIFS(AP$19:AP$168, $E$19:$E$168,$E95,$C$19:$C$168,"2900")</f>
        <v>30789283.872829411</v>
      </c>
      <c r="AQ95" s="182">
        <f>VLOOKUP($H95,'Cost Drivers'!$A$3:$V$67,22,FALSE)</f>
        <v>27072</v>
      </c>
      <c r="AR95" s="264">
        <f>AP95/AQ95</f>
        <v>1137.3110177611336</v>
      </c>
    </row>
    <row r="96" spans="2:44" outlineLevel="1" x14ac:dyDescent="0.25">
      <c r="B96" s="260" t="s">
        <v>259</v>
      </c>
      <c r="C96" s="261" t="s">
        <v>243</v>
      </c>
      <c r="D96" s="182">
        <f t="shared" si="141"/>
        <v>2000</v>
      </c>
      <c r="E96" s="262" t="s">
        <v>230</v>
      </c>
      <c r="F96" s="262" t="s">
        <v>198</v>
      </c>
      <c r="G96" s="287">
        <v>2947720.5850000004</v>
      </c>
      <c r="H96" s="180" t="s">
        <v>516</v>
      </c>
      <c r="I96" s="150">
        <v>0</v>
      </c>
      <c r="J96" s="255">
        <f t="shared" si="86"/>
        <v>1</v>
      </c>
      <c r="K96" s="263">
        <f t="shared" ref="K96:K104" si="152">G96*I96</f>
        <v>0</v>
      </c>
      <c r="L96" s="257">
        <f t="shared" si="87"/>
        <v>2947720.5850000004</v>
      </c>
      <c r="M96" s="462">
        <f>VLOOKUP($H96,'Cost Drivers'!$A$2:$R$66,2,FALSE)</f>
        <v>29.416666666666668</v>
      </c>
      <c r="N96" s="258">
        <f t="shared" si="88"/>
        <v>100205.79892351276</v>
      </c>
      <c r="O96" s="187">
        <f t="shared" ref="O96:O104" si="153">P96*Q96</f>
        <v>2905968.16878187</v>
      </c>
      <c r="P96" s="480">
        <f>VLOOKUP($H96,'Cost Drivers'!$A$2:$R$66,4,FALSE)</f>
        <v>29</v>
      </c>
      <c r="Q96" s="264">
        <f t="shared" ref="Q96:Q104" si="154">N96</f>
        <v>100205.79892351276</v>
      </c>
      <c r="R96" s="187">
        <f t="shared" ref="R96:R104" si="155">S96*T96</f>
        <v>2805762.3698583571</v>
      </c>
      <c r="S96" s="182">
        <f>VLOOKUP($H96,'Cost Drivers'!$A$2:$R$66,6,FALSE)</f>
        <v>28</v>
      </c>
      <c r="T96" s="264">
        <f t="shared" ref="T96:T104" si="156">Q96</f>
        <v>100205.79892351276</v>
      </c>
      <c r="U96" s="187">
        <f t="shared" ref="U96:U104" si="157">V96*W96</f>
        <v>2905968.16878187</v>
      </c>
      <c r="V96" s="182">
        <f>VLOOKUP($H96,'Cost Drivers'!$A$2:$R$66,8,FALSE)</f>
        <v>29</v>
      </c>
      <c r="W96" s="264">
        <f t="shared" ref="W96:W104" si="158">T96</f>
        <v>100205.79892351276</v>
      </c>
      <c r="X96" s="187">
        <f t="shared" ref="X96:X104" si="159">Y96*Z96</f>
        <v>2805762.3698583571</v>
      </c>
      <c r="Y96" s="182">
        <f>VLOOKUP($H96,'Cost Drivers'!$A$2:$R$66,10,FALSE)</f>
        <v>28</v>
      </c>
      <c r="Z96" s="264">
        <f t="shared" ref="Z96:Z104" si="160">W96</f>
        <v>100205.79892351276</v>
      </c>
      <c r="AA96" s="187">
        <f t="shared" ref="AA96:AA104" si="161">AB96*AC96</f>
        <v>2905968.16878187</v>
      </c>
      <c r="AB96" s="182">
        <f>VLOOKUP($H96,'Cost Drivers'!$A$2:$R$66,12,FALSE)</f>
        <v>29</v>
      </c>
      <c r="AC96" s="264">
        <f t="shared" ref="AC96:AC104" si="162">Z96</f>
        <v>100205.79892351276</v>
      </c>
      <c r="AD96" s="187">
        <f t="shared" ref="AD96:AD104" si="163">AE96*AF96</f>
        <v>2605350.7720113317</v>
      </c>
      <c r="AE96" s="182">
        <f>VLOOKUP($H96,'Cost Drivers'!$A$2:$R$66,14,FALSE)</f>
        <v>26</v>
      </c>
      <c r="AF96" s="264">
        <f t="shared" ref="AF96:AF104" si="164">AC96</f>
        <v>100205.79892351276</v>
      </c>
      <c r="AG96" s="187">
        <f t="shared" ref="AG96:AG104" si="165">AH96*AI96</f>
        <v>2905968.16878187</v>
      </c>
      <c r="AH96" s="182">
        <f>VLOOKUP($H96,'Cost Drivers'!$A$2:$R$66,16,FALSE)</f>
        <v>29</v>
      </c>
      <c r="AI96" s="264">
        <f t="shared" ref="AI96:AI104" si="166">AF96</f>
        <v>100205.79892351276</v>
      </c>
      <c r="AJ96" s="187">
        <f t="shared" ref="AJ96:AJ104" si="167">AK96*AL96</f>
        <v>2404939.1741643064</v>
      </c>
      <c r="AK96" s="182">
        <f>VLOOKUP($H96,'Cost Drivers'!$A$2:$R$66,18,FALSE)</f>
        <v>24</v>
      </c>
      <c r="AL96" s="264">
        <f t="shared" ref="AL96:AL104" si="168">AI96</f>
        <v>100205.79892351276</v>
      </c>
      <c r="AM96" s="187">
        <f t="shared" ref="AM96:AM104" si="169">AN96*AO96</f>
        <v>2905968.16878187</v>
      </c>
      <c r="AN96" s="182">
        <f>VLOOKUP($H96,'Cost Drivers'!$A$3:$V$67,20,FALSE)</f>
        <v>29</v>
      </c>
      <c r="AO96" s="264">
        <f t="shared" ref="AO96:AO104" si="170">AL96</f>
        <v>100205.79892351276</v>
      </c>
      <c r="AP96" s="187">
        <f t="shared" ref="AP96:AP104" si="171">AQ96*AR96</f>
        <v>2905968.16878187</v>
      </c>
      <c r="AQ96" s="182">
        <f>VLOOKUP($H96,'Cost Drivers'!$A$3:$V$67,22,FALSE)</f>
        <v>29</v>
      </c>
      <c r="AR96" s="264">
        <f t="shared" ref="AR96:AR104" si="172">AO96</f>
        <v>100205.79892351276</v>
      </c>
    </row>
    <row r="97" spans="1:44" outlineLevel="1" x14ac:dyDescent="0.25">
      <c r="B97" s="260" t="s">
        <v>259</v>
      </c>
      <c r="C97" s="261" t="s">
        <v>244</v>
      </c>
      <c r="D97" s="182">
        <f t="shared" si="141"/>
        <v>2000</v>
      </c>
      <c r="E97" s="262" t="s">
        <v>230</v>
      </c>
      <c r="F97" s="262" t="s">
        <v>199</v>
      </c>
      <c r="G97" s="287">
        <v>2435672.4316666671</v>
      </c>
      <c r="H97" s="180" t="s">
        <v>514</v>
      </c>
      <c r="I97" s="150">
        <v>0</v>
      </c>
      <c r="J97" s="255">
        <f t="shared" si="86"/>
        <v>1</v>
      </c>
      <c r="K97" s="263">
        <f t="shared" si="152"/>
        <v>0</v>
      </c>
      <c r="L97" s="257">
        <f t="shared" si="87"/>
        <v>2435672.4316666671</v>
      </c>
      <c r="M97" s="462">
        <f>VLOOKUP($H97,'Cost Drivers'!$A$2:$R$66,2,FALSE)</f>
        <v>21.891666666666666</v>
      </c>
      <c r="N97" s="258">
        <f t="shared" si="88"/>
        <v>111260.25572896843</v>
      </c>
      <c r="O97" s="187">
        <f t="shared" si="153"/>
        <v>2336465.3703083373</v>
      </c>
      <c r="P97" s="480">
        <f>VLOOKUP($H97,'Cost Drivers'!$A$2:$R$66,4,FALSE)</f>
        <v>21</v>
      </c>
      <c r="Q97" s="264">
        <f t="shared" si="154"/>
        <v>111260.25572896843</v>
      </c>
      <c r="R97" s="187">
        <f t="shared" si="155"/>
        <v>2336465.3703083373</v>
      </c>
      <c r="S97" s="182">
        <f>VLOOKUP($H97,'Cost Drivers'!$A$2:$R$66,6,FALSE)</f>
        <v>21</v>
      </c>
      <c r="T97" s="264">
        <f t="shared" si="156"/>
        <v>111260.25572896843</v>
      </c>
      <c r="U97" s="187">
        <f t="shared" si="157"/>
        <v>2336465.3703083373</v>
      </c>
      <c r="V97" s="182">
        <f>VLOOKUP($H97,'Cost Drivers'!$A$2:$R$66,8,FALSE)</f>
        <v>21</v>
      </c>
      <c r="W97" s="264">
        <f t="shared" si="158"/>
        <v>111260.25572896843</v>
      </c>
      <c r="X97" s="187">
        <f t="shared" si="159"/>
        <v>2336465.3703083373</v>
      </c>
      <c r="Y97" s="182">
        <f>VLOOKUP($H97,'Cost Drivers'!$A$2:$R$66,10,FALSE)</f>
        <v>21</v>
      </c>
      <c r="Z97" s="264">
        <f t="shared" si="160"/>
        <v>111260.25572896843</v>
      </c>
      <c r="AA97" s="187">
        <f t="shared" si="161"/>
        <v>2336465.3703083373</v>
      </c>
      <c r="AB97" s="182">
        <f>VLOOKUP($H97,'Cost Drivers'!$A$2:$R$66,12,FALSE)</f>
        <v>21</v>
      </c>
      <c r="AC97" s="264">
        <f t="shared" si="162"/>
        <v>111260.25572896843</v>
      </c>
      <c r="AD97" s="187">
        <f t="shared" si="163"/>
        <v>2225205.1145793688</v>
      </c>
      <c r="AE97" s="182">
        <f>VLOOKUP($H97,'Cost Drivers'!$A$2:$R$66,14,FALSE)</f>
        <v>20</v>
      </c>
      <c r="AF97" s="264">
        <f t="shared" si="164"/>
        <v>111260.25572896843</v>
      </c>
      <c r="AG97" s="187">
        <f t="shared" si="165"/>
        <v>2336465.3703083373</v>
      </c>
      <c r="AH97" s="182">
        <f>VLOOKUP($H97,'Cost Drivers'!$A$2:$R$66,16,FALSE)</f>
        <v>21</v>
      </c>
      <c r="AI97" s="264">
        <f t="shared" si="166"/>
        <v>111260.25572896843</v>
      </c>
      <c r="AJ97" s="187">
        <f t="shared" si="167"/>
        <v>2002684.6031214318</v>
      </c>
      <c r="AK97" s="182">
        <f>VLOOKUP($H97,'Cost Drivers'!$A$2:$R$66,18,FALSE)</f>
        <v>18</v>
      </c>
      <c r="AL97" s="264">
        <f t="shared" si="168"/>
        <v>111260.25572896843</v>
      </c>
      <c r="AM97" s="187">
        <f t="shared" si="169"/>
        <v>2336465.3703083373</v>
      </c>
      <c r="AN97" s="182">
        <f>VLOOKUP($H97,'Cost Drivers'!$A$3:$V$67,20,FALSE)</f>
        <v>21</v>
      </c>
      <c r="AO97" s="264">
        <f t="shared" si="170"/>
        <v>111260.25572896843</v>
      </c>
      <c r="AP97" s="187">
        <f t="shared" si="171"/>
        <v>2336465.3703083373</v>
      </c>
      <c r="AQ97" s="182">
        <f>VLOOKUP($H97,'Cost Drivers'!$A$3:$V$67,22,FALSE)</f>
        <v>21</v>
      </c>
      <c r="AR97" s="264">
        <f t="shared" si="172"/>
        <v>111260.25572896843</v>
      </c>
    </row>
    <row r="98" spans="1:44" outlineLevel="1" x14ac:dyDescent="0.25">
      <c r="B98" s="260" t="s">
        <v>259</v>
      </c>
      <c r="C98" s="261" t="s">
        <v>245</v>
      </c>
      <c r="D98" s="182">
        <f t="shared" si="141"/>
        <v>2000</v>
      </c>
      <c r="E98" s="262" t="s">
        <v>230</v>
      </c>
      <c r="F98" s="262" t="s">
        <v>200</v>
      </c>
      <c r="G98" s="287">
        <v>7010749.666666667</v>
      </c>
      <c r="H98" s="180" t="s">
        <v>315</v>
      </c>
      <c r="I98" s="150">
        <v>0</v>
      </c>
      <c r="J98" s="255">
        <f t="shared" si="86"/>
        <v>1</v>
      </c>
      <c r="K98" s="263">
        <f t="shared" si="152"/>
        <v>0</v>
      </c>
      <c r="L98" s="257">
        <f t="shared" si="87"/>
        <v>7010749.666666667</v>
      </c>
      <c r="M98" s="462">
        <f>VLOOKUP($H98,'Cost Drivers'!$A$2:$R$66,2,FALSE)</f>
        <v>362</v>
      </c>
      <c r="N98" s="258">
        <f t="shared" si="88"/>
        <v>19366.711786372009</v>
      </c>
      <c r="O98" s="187">
        <f t="shared" si="153"/>
        <v>6949743.6303061498</v>
      </c>
      <c r="P98" s="480">
        <f>VLOOKUP($H98,'Cost Drivers'!$A$2:$R$66,4,FALSE)</f>
        <v>358.84995382626357</v>
      </c>
      <c r="Q98" s="264">
        <f t="shared" si="154"/>
        <v>19366.711786372009</v>
      </c>
      <c r="R98" s="187">
        <f t="shared" si="155"/>
        <v>6764176.1212897608</v>
      </c>
      <c r="S98" s="182">
        <f>VLOOKUP($H98,'Cost Drivers'!$A$2:$R$66,6,FALSE)</f>
        <v>349.26817706088775</v>
      </c>
      <c r="T98" s="264">
        <f t="shared" si="156"/>
        <v>19366.711786372009</v>
      </c>
      <c r="U98" s="187">
        <f t="shared" si="157"/>
        <v>6908246.9061586298</v>
      </c>
      <c r="V98" s="182">
        <f>VLOOKUP($H98,'Cost Drivers'!$A$2:$R$66,8,FALSE)</f>
        <v>356.70727082435508</v>
      </c>
      <c r="W98" s="264">
        <f t="shared" si="158"/>
        <v>19366.711786372009</v>
      </c>
      <c r="X98" s="187">
        <f t="shared" si="159"/>
        <v>6517531.275699541</v>
      </c>
      <c r="Y98" s="182">
        <f>VLOOKUP($H98,'Cost Drivers'!$A$2:$R$66,10,FALSE)</f>
        <v>336.53267253586154</v>
      </c>
      <c r="Z98" s="264">
        <f t="shared" si="160"/>
        <v>19366.711786372009</v>
      </c>
      <c r="AA98" s="187">
        <f t="shared" si="161"/>
        <v>6825039.5572236525</v>
      </c>
      <c r="AB98" s="182">
        <f>VLOOKUP($H98,'Cost Drivers'!$A$2:$R$66,12,FALSE)</f>
        <v>352.41086006279625</v>
      </c>
      <c r="AC98" s="264">
        <f t="shared" si="162"/>
        <v>19366.711786372009</v>
      </c>
      <c r="AD98" s="187">
        <f t="shared" si="163"/>
        <v>6043608.2963054767</v>
      </c>
      <c r="AE98" s="182">
        <f>VLOOKUP($H98,'Cost Drivers'!$A$2:$R$66,14,FALSE)</f>
        <v>312.06166348580922</v>
      </c>
      <c r="AF98" s="264">
        <f t="shared" si="164"/>
        <v>19366.711786372009</v>
      </c>
      <c r="AG98" s="187">
        <f t="shared" si="165"/>
        <v>6658838.7599936351</v>
      </c>
      <c r="AH98" s="182">
        <f>VLOOKUP($H98,'Cost Drivers'!$A$2:$R$66,16,FALSE)</f>
        <v>343.82908329742042</v>
      </c>
      <c r="AI98" s="264">
        <f t="shared" si="166"/>
        <v>19366.711786372009</v>
      </c>
      <c r="AJ98" s="187">
        <f t="shared" si="167"/>
        <v>5095762.3375173481</v>
      </c>
      <c r="AK98" s="182">
        <f>VLOOKUP($H98,'Cost Drivers'!$A$2:$R$66,18,FALSE)</f>
        <v>263.11964538570459</v>
      </c>
      <c r="AL98" s="264">
        <f t="shared" si="168"/>
        <v>19366.711786372009</v>
      </c>
      <c r="AM98" s="187">
        <f t="shared" si="169"/>
        <v>7010749.666666667</v>
      </c>
      <c r="AN98" s="182">
        <f>VLOOKUP($H98,'Cost Drivers'!$A$3:$V$67,20,FALSE)</f>
        <v>362</v>
      </c>
      <c r="AO98" s="264">
        <f t="shared" si="170"/>
        <v>19366.711786372009</v>
      </c>
      <c r="AP98" s="187">
        <f t="shared" si="171"/>
        <v>7010749.666666667</v>
      </c>
      <c r="AQ98" s="182">
        <f>VLOOKUP($H98,'Cost Drivers'!$A$3:$V$67,22,FALSE)</f>
        <v>362</v>
      </c>
      <c r="AR98" s="264">
        <f t="shared" si="172"/>
        <v>19366.711786372009</v>
      </c>
    </row>
    <row r="99" spans="1:44" outlineLevel="1" x14ac:dyDescent="0.25">
      <c r="B99" s="260" t="s">
        <v>259</v>
      </c>
      <c r="C99" s="261" t="s">
        <v>246</v>
      </c>
      <c r="D99" s="182">
        <f t="shared" si="141"/>
        <v>2000</v>
      </c>
      <c r="E99" s="262" t="s">
        <v>230</v>
      </c>
      <c r="F99" s="262" t="s">
        <v>201</v>
      </c>
      <c r="G99" s="287">
        <v>1863765.9999999993</v>
      </c>
      <c r="H99" s="180" t="s">
        <v>518</v>
      </c>
      <c r="I99" s="150">
        <v>0</v>
      </c>
      <c r="J99" s="255">
        <f t="shared" si="86"/>
        <v>1</v>
      </c>
      <c r="K99" s="263">
        <f t="shared" si="152"/>
        <v>0</v>
      </c>
      <c r="L99" s="257">
        <f t="shared" si="87"/>
        <v>1863765.9999999993</v>
      </c>
      <c r="M99" s="462">
        <f>VLOOKUP($H99,'Cost Drivers'!$A$2:$R$66,2,FALSE)</f>
        <v>63.93</v>
      </c>
      <c r="N99" s="258">
        <f t="shared" si="88"/>
        <v>29153.230095416853</v>
      </c>
      <c r="O99" s="187">
        <f t="shared" si="153"/>
        <v>1865806.7261066786</v>
      </c>
      <c r="P99" s="480">
        <f>VLOOKUP($H99,'Cost Drivers'!$A$2:$R$66,4,FALSE)</f>
        <v>64</v>
      </c>
      <c r="Q99" s="264">
        <f t="shared" si="154"/>
        <v>29153.230095416853</v>
      </c>
      <c r="R99" s="187">
        <f t="shared" si="155"/>
        <v>1749193.8057250113</v>
      </c>
      <c r="S99" s="182">
        <f>VLOOKUP($H99,'Cost Drivers'!$A$2:$R$66,6,FALSE)</f>
        <v>60</v>
      </c>
      <c r="T99" s="264">
        <f t="shared" si="156"/>
        <v>29153.230095416853</v>
      </c>
      <c r="U99" s="187">
        <f t="shared" si="157"/>
        <v>1807500.2659158448</v>
      </c>
      <c r="V99" s="182">
        <f>VLOOKUP($H99,'Cost Drivers'!$A$2:$R$66,8,FALSE)</f>
        <v>62</v>
      </c>
      <c r="W99" s="264">
        <f t="shared" si="158"/>
        <v>29153.230095416853</v>
      </c>
      <c r="X99" s="187">
        <f t="shared" si="159"/>
        <v>1690887.3455341775</v>
      </c>
      <c r="Y99" s="182">
        <f>VLOOKUP($H99,'Cost Drivers'!$A$2:$R$66,10,FALSE)</f>
        <v>58</v>
      </c>
      <c r="Z99" s="264">
        <f t="shared" si="160"/>
        <v>29153.230095416853</v>
      </c>
      <c r="AA99" s="187">
        <f t="shared" si="161"/>
        <v>1749193.8057250113</v>
      </c>
      <c r="AB99" s="182">
        <f>VLOOKUP($H99,'Cost Drivers'!$A$2:$R$66,12,FALSE)</f>
        <v>60</v>
      </c>
      <c r="AC99" s="264">
        <f t="shared" si="162"/>
        <v>29153.230095416853</v>
      </c>
      <c r="AD99" s="187">
        <f t="shared" si="163"/>
        <v>1574274.4251525102</v>
      </c>
      <c r="AE99" s="182">
        <f>VLOOKUP($H99,'Cost Drivers'!$A$2:$R$66,14,FALSE)</f>
        <v>54</v>
      </c>
      <c r="AF99" s="264">
        <f t="shared" si="164"/>
        <v>29153.230095416853</v>
      </c>
      <c r="AG99" s="187">
        <f t="shared" si="165"/>
        <v>1690887.3455341775</v>
      </c>
      <c r="AH99" s="182">
        <f>VLOOKUP($H99,'Cost Drivers'!$A$2:$R$66,16,FALSE)</f>
        <v>58</v>
      </c>
      <c r="AI99" s="264">
        <f t="shared" si="166"/>
        <v>29153.230095416853</v>
      </c>
      <c r="AJ99" s="187">
        <f t="shared" si="167"/>
        <v>1311895.3542937583</v>
      </c>
      <c r="AK99" s="182">
        <f>VLOOKUP($H99,'Cost Drivers'!$A$2:$R$66,18,FALSE)</f>
        <v>45</v>
      </c>
      <c r="AL99" s="264">
        <f t="shared" si="168"/>
        <v>29153.230095416853</v>
      </c>
      <c r="AM99" s="187">
        <f t="shared" si="169"/>
        <v>1863765.9999999993</v>
      </c>
      <c r="AN99" s="182">
        <f>VLOOKUP($H99,'Cost Drivers'!$A$3:$V$67,20,FALSE)</f>
        <v>63.93</v>
      </c>
      <c r="AO99" s="264">
        <f t="shared" si="170"/>
        <v>29153.230095416853</v>
      </c>
      <c r="AP99" s="187">
        <f t="shared" si="171"/>
        <v>1863765.9999999993</v>
      </c>
      <c r="AQ99" s="182">
        <f>VLOOKUP($H99,'Cost Drivers'!$A$3:$V$67,22,FALSE)</f>
        <v>63.93</v>
      </c>
      <c r="AR99" s="264">
        <f t="shared" si="172"/>
        <v>29153.230095416853</v>
      </c>
    </row>
    <row r="100" spans="1:44" outlineLevel="1" x14ac:dyDescent="0.25">
      <c r="B100" s="260" t="s">
        <v>259</v>
      </c>
      <c r="C100" s="261" t="s">
        <v>247</v>
      </c>
      <c r="D100" s="182">
        <f t="shared" si="141"/>
        <v>2000</v>
      </c>
      <c r="E100" s="262" t="s">
        <v>230</v>
      </c>
      <c r="F100" s="262" t="s">
        <v>202</v>
      </c>
      <c r="G100" s="287">
        <v>1189800.33</v>
      </c>
      <c r="H100" s="180" t="s">
        <v>316</v>
      </c>
      <c r="I100" s="150">
        <v>0</v>
      </c>
      <c r="J100" s="255">
        <f t="shared" si="86"/>
        <v>1</v>
      </c>
      <c r="K100" s="263">
        <f t="shared" si="152"/>
        <v>0</v>
      </c>
      <c r="L100" s="257">
        <f t="shared" si="87"/>
        <v>1189800.33</v>
      </c>
      <c r="M100" s="462">
        <f>VLOOKUP($H100,'Cost Drivers'!$A$2:$R$66,2,FALSE)</f>
        <v>3</v>
      </c>
      <c r="N100" s="258">
        <f t="shared" si="88"/>
        <v>396600.11000000004</v>
      </c>
      <c r="O100" s="187">
        <f t="shared" si="153"/>
        <v>1189800.33</v>
      </c>
      <c r="P100" s="480">
        <f>VLOOKUP($H100,'Cost Drivers'!$A$2:$R$66,4,FALSE)</f>
        <v>3</v>
      </c>
      <c r="Q100" s="264">
        <f t="shared" si="154"/>
        <v>396600.11000000004</v>
      </c>
      <c r="R100" s="187">
        <f t="shared" si="155"/>
        <v>1189800.33</v>
      </c>
      <c r="S100" s="182">
        <f>VLOOKUP($H100,'Cost Drivers'!$A$2:$R$66,6,FALSE)</f>
        <v>3</v>
      </c>
      <c r="T100" s="264">
        <f t="shared" si="156"/>
        <v>396600.11000000004</v>
      </c>
      <c r="U100" s="187">
        <f t="shared" si="157"/>
        <v>1189800.33</v>
      </c>
      <c r="V100" s="182">
        <f>VLOOKUP($H100,'Cost Drivers'!$A$2:$R$66,8,FALSE)</f>
        <v>3</v>
      </c>
      <c r="W100" s="264">
        <f t="shared" si="158"/>
        <v>396600.11000000004</v>
      </c>
      <c r="X100" s="187">
        <f t="shared" si="159"/>
        <v>1189800.33</v>
      </c>
      <c r="Y100" s="182">
        <f>VLOOKUP($H100,'Cost Drivers'!$A$2:$R$66,10,FALSE)</f>
        <v>3</v>
      </c>
      <c r="Z100" s="264">
        <f t="shared" si="160"/>
        <v>396600.11000000004</v>
      </c>
      <c r="AA100" s="187">
        <f t="shared" si="161"/>
        <v>1189800.33</v>
      </c>
      <c r="AB100" s="182">
        <f>VLOOKUP($H100,'Cost Drivers'!$A$2:$R$66,12,FALSE)</f>
        <v>3</v>
      </c>
      <c r="AC100" s="264">
        <f t="shared" si="162"/>
        <v>396600.11000000004</v>
      </c>
      <c r="AD100" s="187">
        <f t="shared" si="163"/>
        <v>1189800.33</v>
      </c>
      <c r="AE100" s="182">
        <f>VLOOKUP($H100,'Cost Drivers'!$A$2:$R$66,14,FALSE)</f>
        <v>3</v>
      </c>
      <c r="AF100" s="264">
        <f t="shared" si="164"/>
        <v>396600.11000000004</v>
      </c>
      <c r="AG100" s="187">
        <f t="shared" si="165"/>
        <v>1189800.33</v>
      </c>
      <c r="AH100" s="182">
        <f>VLOOKUP($H100,'Cost Drivers'!$A$2:$R$66,16,FALSE)</f>
        <v>3</v>
      </c>
      <c r="AI100" s="264">
        <f t="shared" si="166"/>
        <v>396600.11000000004</v>
      </c>
      <c r="AJ100" s="187">
        <f t="shared" si="167"/>
        <v>1189800.33</v>
      </c>
      <c r="AK100" s="182">
        <f>VLOOKUP($H100,'Cost Drivers'!$A$2:$R$66,18,FALSE)</f>
        <v>3</v>
      </c>
      <c r="AL100" s="264">
        <f t="shared" si="168"/>
        <v>396600.11000000004</v>
      </c>
      <c r="AM100" s="187">
        <f t="shared" si="169"/>
        <v>1189800.33</v>
      </c>
      <c r="AN100" s="182">
        <f>VLOOKUP($H100,'Cost Drivers'!$A$3:$V$67,20,FALSE)</f>
        <v>3</v>
      </c>
      <c r="AO100" s="264">
        <f t="shared" si="170"/>
        <v>396600.11000000004</v>
      </c>
      <c r="AP100" s="187">
        <f t="shared" si="171"/>
        <v>1189800.33</v>
      </c>
      <c r="AQ100" s="182">
        <f>VLOOKUP($H100,'Cost Drivers'!$A$3:$V$67,22,FALSE)</f>
        <v>3</v>
      </c>
      <c r="AR100" s="264">
        <f t="shared" si="172"/>
        <v>396600.11000000004</v>
      </c>
    </row>
    <row r="101" spans="1:44" outlineLevel="1" x14ac:dyDescent="0.25">
      <c r="B101" s="260" t="s">
        <v>259</v>
      </c>
      <c r="C101" s="261" t="s">
        <v>248</v>
      </c>
      <c r="D101" s="182">
        <f t="shared" si="141"/>
        <v>2000</v>
      </c>
      <c r="E101" s="262" t="s">
        <v>230</v>
      </c>
      <c r="F101" s="262" t="s">
        <v>203</v>
      </c>
      <c r="G101" s="287">
        <v>11388380.630000003</v>
      </c>
      <c r="H101" s="180" t="s">
        <v>524</v>
      </c>
      <c r="I101" s="150">
        <v>0</v>
      </c>
      <c r="J101" s="255">
        <f t="shared" si="86"/>
        <v>1</v>
      </c>
      <c r="K101" s="263">
        <f t="shared" si="152"/>
        <v>0</v>
      </c>
      <c r="L101" s="257">
        <f t="shared" si="87"/>
        <v>11388380.630000003</v>
      </c>
      <c r="M101" s="462">
        <f>VLOOKUP($H101,'Cost Drivers'!$A$2:$R$66,2,FALSE)</f>
        <v>57.083333333333336</v>
      </c>
      <c r="N101" s="258">
        <f t="shared" si="88"/>
        <v>199504.47818978105</v>
      </c>
      <c r="O101" s="187">
        <f t="shared" si="153"/>
        <v>11306489.177830819</v>
      </c>
      <c r="P101" s="480">
        <f>VLOOKUP($H101,'Cost Drivers'!$A$2:$R$66,4,FALSE)</f>
        <v>56.672859077756563</v>
      </c>
      <c r="Q101" s="264">
        <f t="shared" si="154"/>
        <v>199504.47818978105</v>
      </c>
      <c r="R101" s="187">
        <f t="shared" si="155"/>
        <v>10979624.494600751</v>
      </c>
      <c r="S101" s="182">
        <f>VLOOKUP($H101,'Cost Drivers'!$A$2:$R$66,6,FALSE)</f>
        <v>55.034476389829457</v>
      </c>
      <c r="T101" s="264">
        <f t="shared" si="156"/>
        <v>199504.47818978105</v>
      </c>
      <c r="U101" s="187">
        <f t="shared" si="157"/>
        <v>11224878.1758403</v>
      </c>
      <c r="V101" s="182">
        <f>VLOOKUP($H101,'Cost Drivers'!$A$2:$R$66,8,FALSE)</f>
        <v>56.263790555931777</v>
      </c>
      <c r="W101" s="264">
        <f t="shared" si="158"/>
        <v>199504.47818978105</v>
      </c>
      <c r="X101" s="187">
        <f t="shared" si="159"/>
        <v>10570728.134112172</v>
      </c>
      <c r="Y101" s="182">
        <f>VLOOKUP($H101,'Cost Drivers'!$A$2:$R$66,10,FALSE)</f>
        <v>52.984916579449603</v>
      </c>
      <c r="Z101" s="264">
        <f t="shared" si="160"/>
        <v>199504.47818978105</v>
      </c>
      <c r="AA101" s="187">
        <f t="shared" si="161"/>
        <v>11061235.49659127</v>
      </c>
      <c r="AB101" s="182">
        <f>VLOOKUP($H101,'Cost Drivers'!$A$2:$R$66,12,FALSE)</f>
        <v>55.443544911654243</v>
      </c>
      <c r="AC101" s="264">
        <f t="shared" si="162"/>
        <v>199504.47818978105</v>
      </c>
      <c r="AD101" s="187">
        <f t="shared" si="163"/>
        <v>9752935.4131350107</v>
      </c>
      <c r="AE101" s="182">
        <f>VLOOKUP($H101,'Cost Drivers'!$A$2:$R$66,14,FALSE)</f>
        <v>48.885796958689888</v>
      </c>
      <c r="AF101" s="264">
        <f t="shared" si="164"/>
        <v>199504.47818978105</v>
      </c>
      <c r="AG101" s="187">
        <f t="shared" si="165"/>
        <v>10734370.8133612</v>
      </c>
      <c r="AH101" s="182">
        <f>VLOOKUP($H101,'Cost Drivers'!$A$2:$R$66,16,FALSE)</f>
        <v>53.80516222372713</v>
      </c>
      <c r="AI101" s="264">
        <f t="shared" si="166"/>
        <v>199504.47818978105</v>
      </c>
      <c r="AJ101" s="187">
        <f t="shared" si="167"/>
        <v>8117349.9711806923</v>
      </c>
      <c r="AK101" s="182">
        <f>VLOOKUP($H101,'Cost Drivers'!$A$2:$R$66,18,FALSE)</f>
        <v>40.687557717170463</v>
      </c>
      <c r="AL101" s="264">
        <f t="shared" si="168"/>
        <v>199504.47818978105</v>
      </c>
      <c r="AM101" s="187">
        <f t="shared" si="169"/>
        <v>11388380.630000003</v>
      </c>
      <c r="AN101" s="182">
        <f>VLOOKUP($H101,'Cost Drivers'!$A$3:$V$67,20,FALSE)</f>
        <v>57.083333333333336</v>
      </c>
      <c r="AO101" s="264">
        <f t="shared" si="170"/>
        <v>199504.47818978105</v>
      </c>
      <c r="AP101" s="187">
        <f t="shared" si="171"/>
        <v>11388380.630000003</v>
      </c>
      <c r="AQ101" s="182">
        <f>VLOOKUP($H101,'Cost Drivers'!$A$3:$V$67,22,FALSE)</f>
        <v>57.083333333333336</v>
      </c>
      <c r="AR101" s="264">
        <f t="shared" si="172"/>
        <v>199504.47818978105</v>
      </c>
    </row>
    <row r="102" spans="1:44" outlineLevel="1" x14ac:dyDescent="0.25">
      <c r="B102" s="260" t="s">
        <v>259</v>
      </c>
      <c r="C102" s="261" t="s">
        <v>250</v>
      </c>
      <c r="D102" s="182">
        <f t="shared" si="141"/>
        <v>2000</v>
      </c>
      <c r="E102" s="262" t="s">
        <v>230</v>
      </c>
      <c r="F102" s="262" t="s">
        <v>204</v>
      </c>
      <c r="G102" s="287">
        <v>2788129.6983333332</v>
      </c>
      <c r="H102" s="180" t="s">
        <v>531</v>
      </c>
      <c r="I102" s="150">
        <v>0</v>
      </c>
      <c r="J102" s="255">
        <f t="shared" si="86"/>
        <v>1</v>
      </c>
      <c r="K102" s="263">
        <f t="shared" si="152"/>
        <v>0</v>
      </c>
      <c r="L102" s="257">
        <f t="shared" si="87"/>
        <v>2788129.6983333332</v>
      </c>
      <c r="M102" s="462">
        <f>VLOOKUP($H102,'Cost Drivers'!$A$2:$R$66,2,FALSE)</f>
        <v>38938.833333333328</v>
      </c>
      <c r="N102" s="258">
        <f t="shared" si="88"/>
        <v>71.602805211592553</v>
      </c>
      <c r="O102" s="187">
        <f t="shared" si="153"/>
        <v>2756003.9063950665</v>
      </c>
      <c r="P102" s="480">
        <f>VLOOKUP($H102,'Cost Drivers'!$A$2:$R$66,4,FALSE)</f>
        <v>38490.166666666672</v>
      </c>
      <c r="Q102" s="264">
        <f t="shared" si="154"/>
        <v>71.602805211592553</v>
      </c>
      <c r="R102" s="187">
        <f t="shared" si="155"/>
        <v>2783630.655405872</v>
      </c>
      <c r="S102" s="182">
        <f>VLOOKUP($H102,'Cost Drivers'!$A$2:$R$66,6,FALSE)</f>
        <v>38876</v>
      </c>
      <c r="T102" s="264">
        <f t="shared" si="156"/>
        <v>71.602805211592553</v>
      </c>
      <c r="U102" s="187">
        <f t="shared" si="157"/>
        <v>2756003.9063950665</v>
      </c>
      <c r="V102" s="182">
        <f>VLOOKUP($H102,'Cost Drivers'!$A$2:$R$66,8,FALSE)</f>
        <v>38490.166666666672</v>
      </c>
      <c r="W102" s="264">
        <f t="shared" si="158"/>
        <v>71.602805211592553</v>
      </c>
      <c r="X102" s="187">
        <f t="shared" si="159"/>
        <v>2783630.655405872</v>
      </c>
      <c r="Y102" s="182">
        <f>VLOOKUP($H102,'Cost Drivers'!$A$2:$R$66,10,FALSE)</f>
        <v>38876</v>
      </c>
      <c r="Z102" s="264">
        <f t="shared" si="160"/>
        <v>71.602805211592553</v>
      </c>
      <c r="AA102" s="187">
        <f t="shared" si="161"/>
        <v>2756003.9063950665</v>
      </c>
      <c r="AB102" s="182">
        <f>VLOOKUP($H102,'Cost Drivers'!$A$2:$R$66,12,FALSE)</f>
        <v>38490.166666666672</v>
      </c>
      <c r="AC102" s="264">
        <f t="shared" si="162"/>
        <v>71.602805211592553</v>
      </c>
      <c r="AD102" s="187">
        <f t="shared" si="163"/>
        <v>2783630.655405872</v>
      </c>
      <c r="AE102" s="182">
        <f>VLOOKUP($H102,'Cost Drivers'!$A$2:$R$66,14,FALSE)</f>
        <v>38876</v>
      </c>
      <c r="AF102" s="264">
        <f t="shared" si="164"/>
        <v>71.602805211592553</v>
      </c>
      <c r="AG102" s="187">
        <f t="shared" si="165"/>
        <v>2756003.9063950665</v>
      </c>
      <c r="AH102" s="182">
        <f>VLOOKUP($H102,'Cost Drivers'!$A$2:$R$66,16,FALSE)</f>
        <v>38490.166666666672</v>
      </c>
      <c r="AI102" s="264">
        <f t="shared" si="166"/>
        <v>71.602805211592553</v>
      </c>
      <c r="AJ102" s="187">
        <f t="shared" si="167"/>
        <v>2783630.655405872</v>
      </c>
      <c r="AK102" s="182">
        <f>VLOOKUP($H102,'Cost Drivers'!$A$2:$R$66,18,FALSE)</f>
        <v>38876</v>
      </c>
      <c r="AL102" s="264">
        <f t="shared" si="168"/>
        <v>71.602805211592553</v>
      </c>
      <c r="AM102" s="187">
        <f t="shared" si="169"/>
        <v>2756003.9063950665</v>
      </c>
      <c r="AN102" s="182">
        <f>VLOOKUP($H102,'Cost Drivers'!$A$3:$V$67,20,FALSE)</f>
        <v>38490.166666666672</v>
      </c>
      <c r="AO102" s="264">
        <f t="shared" si="170"/>
        <v>71.602805211592553</v>
      </c>
      <c r="AP102" s="187">
        <f t="shared" si="171"/>
        <v>2783630.655405872</v>
      </c>
      <c r="AQ102" s="182">
        <f>VLOOKUP($H102,'Cost Drivers'!$A$3:$V$67,22,FALSE)</f>
        <v>38876</v>
      </c>
      <c r="AR102" s="264">
        <f t="shared" si="172"/>
        <v>71.602805211592553</v>
      </c>
    </row>
    <row r="103" spans="1:44" outlineLevel="1" x14ac:dyDescent="0.25">
      <c r="B103" s="260" t="s">
        <v>259</v>
      </c>
      <c r="C103" s="261" t="s">
        <v>249</v>
      </c>
      <c r="D103" s="182">
        <f t="shared" si="141"/>
        <v>2000</v>
      </c>
      <c r="E103" s="262" t="s">
        <v>230</v>
      </c>
      <c r="F103" s="262" t="s">
        <v>205</v>
      </c>
      <c r="G103" s="287">
        <v>1293745.4583333333</v>
      </c>
      <c r="H103" s="180" t="s">
        <v>322</v>
      </c>
      <c r="I103" s="150">
        <v>0</v>
      </c>
      <c r="J103" s="255">
        <f t="shared" si="86"/>
        <v>1</v>
      </c>
      <c r="K103" s="263">
        <f t="shared" si="152"/>
        <v>0</v>
      </c>
      <c r="L103" s="257">
        <f t="shared" si="87"/>
        <v>1293745.4583333333</v>
      </c>
      <c r="M103" s="462">
        <f>VLOOKUP($H103,'Cost Drivers'!$A$2:$R$66,2,FALSE)</f>
        <v>44</v>
      </c>
      <c r="N103" s="258">
        <f t="shared" si="88"/>
        <v>29403.30587121212</v>
      </c>
      <c r="O103" s="187">
        <f t="shared" si="153"/>
        <v>1285076.7055686924</v>
      </c>
      <c r="P103" s="480">
        <f>VLOOKUP($H103,'Cost Drivers'!$A$2:$R$66,4,FALSE)</f>
        <v>43.705177614972598</v>
      </c>
      <c r="Q103" s="264">
        <f t="shared" si="154"/>
        <v>29403.30587121212</v>
      </c>
      <c r="R103" s="187">
        <f t="shared" si="155"/>
        <v>1250475.9132837988</v>
      </c>
      <c r="S103" s="182">
        <f>VLOOKUP($H103,'Cost Drivers'!$A$2:$R$66,6,FALSE)</f>
        <v>42.528412239118381</v>
      </c>
      <c r="T103" s="264">
        <f t="shared" si="156"/>
        <v>29403.30587121212</v>
      </c>
      <c r="U103" s="187">
        <f t="shared" si="157"/>
        <v>1276437.6403135196</v>
      </c>
      <c r="V103" s="182">
        <f>VLOOKUP($H103,'Cost Drivers'!$A$2:$R$66,8,FALSE)</f>
        <v>43.411364895647353</v>
      </c>
      <c r="W103" s="264">
        <f t="shared" si="158"/>
        <v>29403.30587121212</v>
      </c>
      <c r="X103" s="187">
        <f t="shared" si="159"/>
        <v>1207191.5244795308</v>
      </c>
      <c r="Y103" s="182">
        <f>VLOOKUP($H103,'Cost Drivers'!$A$2:$R$66,10,FALSE)</f>
        <v>41.056319645385699</v>
      </c>
      <c r="Z103" s="264">
        <f t="shared" si="160"/>
        <v>29403.30587121212</v>
      </c>
      <c r="AA103" s="187">
        <f t="shared" si="161"/>
        <v>1259114.9785389719</v>
      </c>
      <c r="AB103" s="182">
        <f>VLOOKUP($H103,'Cost Drivers'!$A$2:$R$66,12,FALSE)</f>
        <v>42.822224958443634</v>
      </c>
      <c r="AC103" s="264">
        <f t="shared" si="162"/>
        <v>29403.30587121212</v>
      </c>
      <c r="AD103" s="187">
        <f t="shared" si="163"/>
        <v>1120622.7468709948</v>
      </c>
      <c r="AE103" s="182">
        <f>VLOOKUP($H103,'Cost Drivers'!$A$2:$R$66,14,FALSE)</f>
        <v>38.112134457920334</v>
      </c>
      <c r="AF103" s="264">
        <f t="shared" si="164"/>
        <v>29403.30587121212</v>
      </c>
      <c r="AG103" s="187">
        <f t="shared" si="165"/>
        <v>1224514.1862540785</v>
      </c>
      <c r="AH103" s="182">
        <f>VLOOKUP($H103,'Cost Drivers'!$A$2:$R$66,16,FALSE)</f>
        <v>41.645459582589417</v>
      </c>
      <c r="AI103" s="264">
        <f t="shared" si="166"/>
        <v>29403.30587121212</v>
      </c>
      <c r="AJ103" s="187">
        <f t="shared" si="167"/>
        <v>947485.1916539222</v>
      </c>
      <c r="AK103" s="182">
        <f>VLOOKUP($H103,'Cost Drivers'!$A$2:$R$66,18,FALSE)</f>
        <v>32.223764082989597</v>
      </c>
      <c r="AL103" s="264">
        <f t="shared" si="168"/>
        <v>29403.30587121212</v>
      </c>
      <c r="AM103" s="187">
        <f t="shared" si="169"/>
        <v>1293745.4583333333</v>
      </c>
      <c r="AN103" s="182">
        <f>VLOOKUP($H103,'Cost Drivers'!$A$3:$V$67,20,FALSE)</f>
        <v>44</v>
      </c>
      <c r="AO103" s="264">
        <f t="shared" si="170"/>
        <v>29403.30587121212</v>
      </c>
      <c r="AP103" s="187">
        <f t="shared" si="171"/>
        <v>1293745.4583333333</v>
      </c>
      <c r="AQ103" s="182">
        <f>VLOOKUP($H103,'Cost Drivers'!$A$3:$V$67,22,FALSE)</f>
        <v>44</v>
      </c>
      <c r="AR103" s="264">
        <f t="shared" si="172"/>
        <v>29403.30587121212</v>
      </c>
    </row>
    <row r="104" spans="1:44" outlineLevel="1" x14ac:dyDescent="0.25">
      <c r="B104" s="260" t="s">
        <v>259</v>
      </c>
      <c r="C104" s="261" t="s">
        <v>251</v>
      </c>
      <c r="D104" s="182">
        <f t="shared" si="141"/>
        <v>2000</v>
      </c>
      <c r="E104" s="262" t="s">
        <v>230</v>
      </c>
      <c r="F104" s="262" t="s">
        <v>206</v>
      </c>
      <c r="G104" s="287">
        <v>16777.593333333334</v>
      </c>
      <c r="H104" s="180" t="s">
        <v>322</v>
      </c>
      <c r="I104" s="150">
        <v>0</v>
      </c>
      <c r="J104" s="255">
        <f t="shared" si="86"/>
        <v>1</v>
      </c>
      <c r="K104" s="263">
        <f t="shared" si="152"/>
        <v>0</v>
      </c>
      <c r="L104" s="257">
        <f t="shared" si="87"/>
        <v>16777.593333333334</v>
      </c>
      <c r="M104" s="462">
        <f>VLOOKUP($H104,'Cost Drivers'!$A$2:$R$66,2,FALSE)</f>
        <v>44</v>
      </c>
      <c r="N104" s="258">
        <f t="shared" si="88"/>
        <v>381.3089393939394</v>
      </c>
      <c r="O104" s="187">
        <f t="shared" si="153"/>
        <v>16665.174922388942</v>
      </c>
      <c r="P104" s="480">
        <f>VLOOKUP($H104,'Cost Drivers'!$A$2:$R$66,4,FALSE)</f>
        <v>43.705177614972598</v>
      </c>
      <c r="Q104" s="264">
        <f t="shared" si="154"/>
        <v>381.3089393939394</v>
      </c>
      <c r="R104" s="187">
        <f t="shared" si="155"/>
        <v>16216.463765006461</v>
      </c>
      <c r="S104" s="182">
        <f>VLOOKUP($H104,'Cost Drivers'!$A$2:$R$66,6,FALSE)</f>
        <v>42.528412239118381</v>
      </c>
      <c r="T104" s="264">
        <f t="shared" si="156"/>
        <v>381.3089393939394</v>
      </c>
      <c r="U104" s="187">
        <f t="shared" si="157"/>
        <v>16553.141506002583</v>
      </c>
      <c r="V104" s="182">
        <f>VLOOKUP($H104,'Cost Drivers'!$A$2:$R$66,8,FALSE)</f>
        <v>43.411364895647353</v>
      </c>
      <c r="W104" s="264">
        <f t="shared" si="158"/>
        <v>381.3089393939394</v>
      </c>
      <c r="X104" s="187">
        <f t="shared" si="159"/>
        <v>15655.141699400579</v>
      </c>
      <c r="Y104" s="182">
        <f>VLOOKUP($H104,'Cost Drivers'!$A$2:$R$66,10,FALSE)</f>
        <v>41.056319645385699</v>
      </c>
      <c r="Z104" s="264">
        <f t="shared" si="160"/>
        <v>381.3089393939394</v>
      </c>
      <c r="AA104" s="187">
        <f t="shared" si="161"/>
        <v>16328.497181392822</v>
      </c>
      <c r="AB104" s="182">
        <f>VLOOKUP($H104,'Cost Drivers'!$A$2:$R$66,12,FALSE)</f>
        <v>42.822224958443634</v>
      </c>
      <c r="AC104" s="264">
        <f t="shared" si="162"/>
        <v>381.3089393939394</v>
      </c>
      <c r="AD104" s="187">
        <f t="shared" si="163"/>
        <v>14532.497568188814</v>
      </c>
      <c r="AE104" s="182">
        <f>VLOOKUP($H104,'Cost Drivers'!$A$2:$R$66,14,FALSE)</f>
        <v>38.112134457920334</v>
      </c>
      <c r="AF104" s="264">
        <f t="shared" si="164"/>
        <v>381.3089393939394</v>
      </c>
      <c r="AG104" s="187">
        <f t="shared" si="165"/>
        <v>15879.78602401034</v>
      </c>
      <c r="AH104" s="182">
        <f>VLOOKUP($H104,'Cost Drivers'!$A$2:$R$66,16,FALSE)</f>
        <v>41.645459582589417</v>
      </c>
      <c r="AI104" s="264">
        <f t="shared" si="166"/>
        <v>381.3089393939394</v>
      </c>
      <c r="AJ104" s="187">
        <f t="shared" si="167"/>
        <v>12287.209305765282</v>
      </c>
      <c r="AK104" s="182">
        <f>VLOOKUP($H104,'Cost Drivers'!$A$2:$R$66,18,FALSE)</f>
        <v>32.223764082989597</v>
      </c>
      <c r="AL104" s="264">
        <f t="shared" si="168"/>
        <v>381.3089393939394</v>
      </c>
      <c r="AM104" s="187">
        <f t="shared" si="169"/>
        <v>16777.593333333334</v>
      </c>
      <c r="AN104" s="182">
        <f>VLOOKUP($H104,'Cost Drivers'!$A$3:$V$67,20,FALSE)</f>
        <v>44</v>
      </c>
      <c r="AO104" s="264">
        <f t="shared" si="170"/>
        <v>381.3089393939394</v>
      </c>
      <c r="AP104" s="187">
        <f t="shared" si="171"/>
        <v>16777.593333333334</v>
      </c>
      <c r="AQ104" s="182">
        <f>VLOOKUP($H104,'Cost Drivers'!$A$3:$V$67,22,FALSE)</f>
        <v>44</v>
      </c>
      <c r="AR104" s="264">
        <f t="shared" si="172"/>
        <v>381.3089393939394</v>
      </c>
    </row>
    <row r="105" spans="1:44" ht="27" outlineLevel="1" x14ac:dyDescent="0.25">
      <c r="B105" s="250" t="s">
        <v>259</v>
      </c>
      <c r="C105" s="251" t="s">
        <v>252</v>
      </c>
      <c r="D105" s="182">
        <f t="shared" si="141"/>
        <v>3000</v>
      </c>
      <c r="E105" s="252" t="s">
        <v>230</v>
      </c>
      <c r="F105" s="252" t="s">
        <v>269</v>
      </c>
      <c r="G105" s="253">
        <f>SUM(G106:G111)</f>
        <v>1529775.1316666664</v>
      </c>
      <c r="H105" s="181" t="s">
        <v>270</v>
      </c>
      <c r="I105" s="254">
        <f>K105/G105</f>
        <v>0</v>
      </c>
      <c r="J105" s="255">
        <f t="shared" si="86"/>
        <v>1</v>
      </c>
      <c r="K105" s="256">
        <f>SUMIFS(K$19:K$168, $B$19:$B$168,$B105,$D$19:$D$168,$C105,$F$19:$F$168,"&lt;&gt;"&amp;$F105)</f>
        <v>0</v>
      </c>
      <c r="L105" s="257">
        <f t="shared" si="87"/>
        <v>1529775.1316666664</v>
      </c>
      <c r="M105" s="462">
        <f>VLOOKUP($H105,'Cost Drivers'!$A$2:$R$66,2,FALSE)</f>
        <v>27071.666666666668</v>
      </c>
      <c r="N105" s="258">
        <f t="shared" si="88"/>
        <v>56.508346918672643</v>
      </c>
      <c r="O105" s="256">
        <f>SUMIFS(O$19:O$168, $E$19:$E$168,$E105,$C$19:$C$168,"3100")+SUMIFS(O$19:O$168, $E$19:$E$168,$E105,$C$19:$C$168,"3200")+SUMIFS(O$19:O$168, $E$19:$E$168,$E105,$C$19:$C$168,"3300")+SUMIFS(O$19:O$168, $E$19:$E$168,$E105,$C$19:$C$168,"3400")</f>
        <v>1083800.2727582804</v>
      </c>
      <c r="P105" s="480">
        <f>VLOOKUP($H105,'Cost Drivers'!$A$2:$R$66,4,FALSE)</f>
        <v>26877</v>
      </c>
      <c r="Q105" s="264">
        <f>O105/P105</f>
        <v>40.324451120224744</v>
      </c>
      <c r="R105" s="256">
        <f>SUMIFS(R$19:R$168, $E$19:$E$168,$E105,$C$19:$C$168,"3100")+SUMIFS(R$19:R$168, $E$19:$E$168,$E105,$C$19:$C$168,"3200")+SUMIFS(R$19:R$168, $E$19:$E$168,$E105,$C$19:$C$168,"3300")+SUMIFS(R$19:R$168, $E$19:$E$168,$E105,$C$19:$C$168,"3400")</f>
        <v>1036525.8500214338</v>
      </c>
      <c r="S105" s="182">
        <f>VLOOKUP($H105,'Cost Drivers'!$A$2:$R$66,6,FALSE)</f>
        <v>26100</v>
      </c>
      <c r="T105" s="264">
        <f>R105/S105</f>
        <v>39.713634100438078</v>
      </c>
      <c r="U105" s="256">
        <f>SUMIFS(U$19:U$168, $E$19:$E$168,$E105,$C$19:$C$168,"3100")+SUMIFS(U$19:U$168, $E$19:$E$168,$E105,$C$19:$C$168,"3200")+SUMIFS(U$19:U$168, $E$19:$E$168,$E105,$C$19:$C$168,"3300")+SUMIFS(U$19:U$168, $E$19:$E$168,$E105,$C$19:$C$168,"3400")</f>
        <v>1083800.2727582804</v>
      </c>
      <c r="V105" s="182">
        <f>VLOOKUP($H105,'Cost Drivers'!$A$2:$R$66,8,FALSE)</f>
        <v>26683</v>
      </c>
      <c r="W105" s="264">
        <f>U105/V105</f>
        <v>40.617631928879078</v>
      </c>
      <c r="X105" s="256">
        <f>SUMIFS(X$19:X$168, $E$19:$E$168,$E105,$C$19:$C$168,"3100")+SUMIFS(X$19:X$168, $E$19:$E$168,$E105,$C$19:$C$168,"3200")+SUMIFS(X$19:X$168, $E$19:$E$168,$E105,$C$19:$C$168,"3300")+SUMIFS(X$19:X$168, $E$19:$E$168,$E105,$C$19:$C$168,"3400")</f>
        <v>1011630.6576295836</v>
      </c>
      <c r="Y105" s="182">
        <f>VLOOKUP($H105,'Cost Drivers'!$A$2:$R$66,10,FALSE)</f>
        <v>25128</v>
      </c>
      <c r="Z105" s="264">
        <f>X105/Y105</f>
        <v>40.259099714644364</v>
      </c>
      <c r="AA105" s="256">
        <f>SUMIFS(AA$19:AA$168, $E$19:$E$168,$E105,$C$19:$C$168,"3100")+SUMIFS(AA$19:AA$168, $E$19:$E$168,$E105,$C$19:$C$168,"3200")+SUMIFS(AA$19:AA$168, $E$19:$E$168,$E105,$C$19:$C$168,"3300")+SUMIFS(AA$19:AA$168, $E$19:$E$168,$E105,$C$19:$C$168,"3400")</f>
        <v>1083800.2727582804</v>
      </c>
      <c r="AB105" s="182">
        <f>VLOOKUP($H105,'Cost Drivers'!$A$2:$R$66,12,FALSE)</f>
        <v>26294</v>
      </c>
      <c r="AC105" s="264">
        <f>AA105/AB105</f>
        <v>41.218539315367778</v>
      </c>
      <c r="AD105" s="256">
        <f>SUMIFS(AD$19:AD$168, $E$19:$E$168,$E105,$C$19:$C$168,"3100")+SUMIFS(AD$19:AD$168, $E$19:$E$168,$E105,$C$19:$C$168,"3200")+SUMIFS(AD$19:AD$168, $E$19:$E$168,$E105,$C$19:$C$168,"3300")+SUMIFS(AD$19:AD$168, $E$19:$E$168,$E105,$C$19:$C$168,"3400")</f>
        <v>962515.12369285827</v>
      </c>
      <c r="AE105" s="182">
        <f>VLOOKUP($H105,'Cost Drivers'!$A$2:$R$66,14,FALSE)</f>
        <v>23184</v>
      </c>
      <c r="AF105" s="264">
        <f>AD105/AE105</f>
        <v>41.516352816289604</v>
      </c>
      <c r="AG105" s="256">
        <f>SUMIFS(AG$19:AG$168, $E$19:$E$168,$E105,$C$19:$C$168,"3100")+SUMIFS(AG$19:AG$168, $E$19:$E$168,$E105,$C$19:$C$168,"3200")+SUMIFS(AG$19:AG$168, $E$19:$E$168,$E105,$C$19:$C$168,"3300")+SUMIFS(AG$19:AG$168, $E$19:$E$168,$E105,$C$19:$C$168,"3400")</f>
        <v>1083800.2727582804</v>
      </c>
      <c r="AH105" s="182">
        <f>VLOOKUP($H105,'Cost Drivers'!$A$2:$R$66,16,FALSE)</f>
        <v>25517</v>
      </c>
      <c r="AI105" s="264">
        <f>AG105/AH105</f>
        <v>42.473655710243385</v>
      </c>
      <c r="AJ105" s="256">
        <f>SUMIFS(AJ$19:AJ$168, $E$19:$E$168,$E105,$C$19:$C$168,"3100")+SUMIFS(AJ$19:AJ$168, $E$19:$E$168,$E105,$C$19:$C$168,"3200")+SUMIFS(AJ$19:AJ$168, $E$19:$E$168,$E105,$C$19:$C$168,"3300")+SUMIFS(AJ$19:AJ$168, $E$19:$E$168,$E105,$C$19:$C$168,"3400")</f>
        <v>863029.49940119521</v>
      </c>
      <c r="AK105" s="182">
        <f>VLOOKUP($H105,'Cost Drivers'!$A$2:$R$66,18,FALSE)</f>
        <v>19296</v>
      </c>
      <c r="AL105" s="264">
        <f>AJ105/AK105</f>
        <v>44.725823973942539</v>
      </c>
      <c r="AM105" s="256">
        <f>SUMIFS(AM$19:AM$168, $E$19:$E$168,$E105,$C$19:$C$168,"3100")+SUMIFS(AM$19:AM$168, $E$19:$E$168,$E105,$C$19:$C$168,"3200")+SUMIFS(AM$19:AM$168, $E$19:$E$168,$E105,$C$19:$C$168,"3300")+SUMIFS(AM$19:AM$168, $E$19:$E$168,$E105,$C$19:$C$168,"3400")</f>
        <v>1083519.0849053741</v>
      </c>
      <c r="AN105" s="182">
        <f>VLOOKUP($H105,'Cost Drivers'!$A$3:$V$67,20,FALSE)</f>
        <v>27072</v>
      </c>
      <c r="AO105" s="264">
        <f>AM105/AN105</f>
        <v>40.023606859684328</v>
      </c>
      <c r="AP105" s="256">
        <f>SUMIFS(AP$19:AP$168, $E$19:$E$168,$E105,$C$19:$C$168,"3100")+SUMIFS(AP$19:AP$168, $E$19:$E$168,$E105,$C$19:$C$168,"3200")+SUMIFS(AP$19:AP$168, $E$19:$E$168,$E105,$C$19:$C$168,"3300")+SUMIFS(AP$19:AP$168, $E$19:$E$168,$E105,$C$19:$C$168,"3400")</f>
        <v>1060891.0534383818</v>
      </c>
      <c r="AQ105" s="182">
        <f>VLOOKUP($H105,'Cost Drivers'!$A$3:$V$67,22,FALSE)</f>
        <v>27072</v>
      </c>
      <c r="AR105" s="264">
        <f>AP105/AQ105</f>
        <v>39.187760543675452</v>
      </c>
    </row>
    <row r="106" spans="1:44" outlineLevel="1" x14ac:dyDescent="0.25">
      <c r="B106" s="260" t="s">
        <v>259</v>
      </c>
      <c r="C106" s="261" t="s">
        <v>253</v>
      </c>
      <c r="D106" s="182">
        <f t="shared" si="141"/>
        <v>3000</v>
      </c>
      <c r="E106" s="262" t="s">
        <v>230</v>
      </c>
      <c r="F106" s="262" t="s">
        <v>207</v>
      </c>
      <c r="G106" s="287">
        <v>79013.786666666667</v>
      </c>
      <c r="H106" s="180" t="s">
        <v>313</v>
      </c>
      <c r="I106" s="135">
        <v>0</v>
      </c>
      <c r="J106" s="255">
        <f t="shared" si="86"/>
        <v>1</v>
      </c>
      <c r="K106" s="263">
        <f t="shared" ref="K106:K111" si="173">G106*I106</f>
        <v>0</v>
      </c>
      <c r="L106" s="257">
        <f t="shared" si="87"/>
        <v>79013.786666666667</v>
      </c>
      <c r="M106" s="462">
        <f>VLOOKUP($H106,'Cost Drivers'!$A$2:$R$66,2,FALSE)</f>
        <v>46.8333333333334</v>
      </c>
      <c r="N106" s="258">
        <f t="shared" si="88"/>
        <v>1687.12711743772</v>
      </c>
      <c r="O106" s="187">
        <f t="shared" ref="O106:O111" si="174">P106*Q106</f>
        <v>79294.974519572846</v>
      </c>
      <c r="P106" s="480">
        <f>VLOOKUP($H106,'Cost Drivers'!$A$2:$R$66,4,FALSE)</f>
        <v>47</v>
      </c>
      <c r="Q106" s="264">
        <f>$N106</f>
        <v>1687.12711743772</v>
      </c>
      <c r="R106" s="187">
        <f t="shared" ref="R106:R111" si="175">S106*T106</f>
        <v>77607.847402135114</v>
      </c>
      <c r="S106" s="182">
        <f>VLOOKUP($H106,'Cost Drivers'!$A$2:$R$66,6,FALSE)</f>
        <v>46</v>
      </c>
      <c r="T106" s="264">
        <f>$N106</f>
        <v>1687.12711743772</v>
      </c>
      <c r="U106" s="187">
        <f t="shared" ref="U106:U111" si="176">V106*W106</f>
        <v>79294.974519572846</v>
      </c>
      <c r="V106" s="182">
        <f>VLOOKUP($H106,'Cost Drivers'!$A$2:$R$66,8,FALSE)</f>
        <v>47</v>
      </c>
      <c r="W106" s="264">
        <f>$N106</f>
        <v>1687.12711743772</v>
      </c>
      <c r="X106" s="187">
        <f t="shared" ref="X106:X111" si="177">Y106*Z106</f>
        <v>75920.720284697396</v>
      </c>
      <c r="Y106" s="182">
        <f>VLOOKUP($H106,'Cost Drivers'!$A$2:$R$66,10,FALSE)</f>
        <v>45</v>
      </c>
      <c r="Z106" s="264">
        <f>$N106</f>
        <v>1687.12711743772</v>
      </c>
      <c r="AA106" s="187">
        <f t="shared" ref="AA106:AA111" si="178">AB106*AC106</f>
        <v>79294.974519572846</v>
      </c>
      <c r="AB106" s="182">
        <f>VLOOKUP($H106,'Cost Drivers'!$A$2:$R$66,12,FALSE)</f>
        <v>47</v>
      </c>
      <c r="AC106" s="264">
        <f>$N106</f>
        <v>1687.12711743772</v>
      </c>
      <c r="AD106" s="187">
        <f t="shared" ref="AD106:AD111" si="179">AE106*AF106</f>
        <v>73221.316896797056</v>
      </c>
      <c r="AE106" s="182">
        <f>VLOOKUP($H106,'Cost Drivers'!$A$2:$R$66,14,FALSE)</f>
        <v>43.400000000000006</v>
      </c>
      <c r="AF106" s="264">
        <f>$N106</f>
        <v>1687.12711743772</v>
      </c>
      <c r="AG106" s="187">
        <f t="shared" ref="AG106:AG111" si="180">AH106*AI106</f>
        <v>79294.974519572846</v>
      </c>
      <c r="AH106" s="182">
        <f>VLOOKUP($H106,'Cost Drivers'!$A$2:$R$66,16,FALSE)</f>
        <v>47</v>
      </c>
      <c r="AI106" s="264">
        <f>$N106</f>
        <v>1687.12711743772</v>
      </c>
      <c r="AJ106" s="187">
        <f t="shared" ref="AJ106:AJ111" si="181">AK106*AL106</f>
        <v>65797.957580071074</v>
      </c>
      <c r="AK106" s="182">
        <f>VLOOKUP($H106,'Cost Drivers'!$A$2:$R$66,18,FALSE)</f>
        <v>39</v>
      </c>
      <c r="AL106" s="264">
        <f>$N106</f>
        <v>1687.12711743772</v>
      </c>
      <c r="AM106" s="187">
        <f t="shared" ref="AM106:AM111" si="182">AN106*AO106</f>
        <v>79013.786666666667</v>
      </c>
      <c r="AN106" s="182">
        <f>VLOOKUP($H106,'Cost Drivers'!$A$3:$V$67,20,FALSE)</f>
        <v>46.8333333333334</v>
      </c>
      <c r="AO106" s="264">
        <f>$N106</f>
        <v>1687.12711743772</v>
      </c>
      <c r="AP106" s="187">
        <f t="shared" ref="AP106:AP111" si="183">AQ106*AR106</f>
        <v>79013.786666666667</v>
      </c>
      <c r="AQ106" s="182">
        <f>VLOOKUP($H106,'Cost Drivers'!$A$3:$V$67,22,FALSE)</f>
        <v>46.8333333333334</v>
      </c>
      <c r="AR106" s="264">
        <f>$N106</f>
        <v>1687.12711743772</v>
      </c>
    </row>
    <row r="107" spans="1:44" outlineLevel="1" x14ac:dyDescent="0.25">
      <c r="B107" s="260" t="s">
        <v>259</v>
      </c>
      <c r="C107" s="261" t="s">
        <v>254</v>
      </c>
      <c r="D107" s="182">
        <f t="shared" si="141"/>
        <v>3000</v>
      </c>
      <c r="E107" s="262" t="s">
        <v>230</v>
      </c>
      <c r="F107" s="262" t="s">
        <v>208</v>
      </c>
      <c r="G107" s="287">
        <v>706899.67499999993</v>
      </c>
      <c r="H107" s="180" t="s">
        <v>536</v>
      </c>
      <c r="I107" s="150">
        <v>0</v>
      </c>
      <c r="J107" s="255">
        <f t="shared" si="86"/>
        <v>1</v>
      </c>
      <c r="K107" s="263">
        <f t="shared" si="173"/>
        <v>0</v>
      </c>
      <c r="L107" s="257">
        <f t="shared" si="87"/>
        <v>706899.67499999993</v>
      </c>
      <c r="M107" s="462">
        <f>VLOOKUP($H107,'Cost Drivers'!$A$2:$R$66,2,FALSE)</f>
        <v>8137.833333333333</v>
      </c>
      <c r="N107" s="258">
        <f t="shared" si="88"/>
        <v>86.865833452802747</v>
      </c>
      <c r="O107" s="187">
        <f t="shared" si="174"/>
        <v>686138.74080478016</v>
      </c>
      <c r="P107" s="480">
        <f>VLOOKUP($H107,'Cost Drivers'!$A$2:$R$66,4,FALSE)</f>
        <v>7898.8333333333339</v>
      </c>
      <c r="Q107" s="264">
        <f>$N107</f>
        <v>86.865833452802747</v>
      </c>
      <c r="R107" s="187">
        <f t="shared" si="175"/>
        <v>646455.53255575802</v>
      </c>
      <c r="S107" s="182">
        <f>VLOOKUP($H107,'Cost Drivers'!$A$2:$R$66,6,FALSE)</f>
        <v>7442</v>
      </c>
      <c r="T107" s="264">
        <f>$N107</f>
        <v>86.865833452802747</v>
      </c>
      <c r="U107" s="187">
        <f t="shared" si="176"/>
        <v>686138.74080478016</v>
      </c>
      <c r="V107" s="182">
        <f>VLOOKUP($H107,'Cost Drivers'!$A$2:$R$66,8,FALSE)</f>
        <v>7898.8333333333339</v>
      </c>
      <c r="W107" s="264">
        <f>$N107</f>
        <v>86.865833452802747</v>
      </c>
      <c r="X107" s="187">
        <f t="shared" si="177"/>
        <v>630124.75586663117</v>
      </c>
      <c r="Y107" s="182">
        <f>VLOOKUP($H107,'Cost Drivers'!$A$2:$R$66,10,FALSE)</f>
        <v>7254</v>
      </c>
      <c r="Z107" s="264">
        <f>$N107</f>
        <v>86.865833452802747</v>
      </c>
      <c r="AA107" s="187">
        <f t="shared" si="178"/>
        <v>686138.74080478016</v>
      </c>
      <c r="AB107" s="182">
        <f>VLOOKUP($H107,'Cost Drivers'!$A$2:$R$66,12,FALSE)</f>
        <v>7898.8333333333339</v>
      </c>
      <c r="AC107" s="264">
        <f>$N107</f>
        <v>86.865833452802747</v>
      </c>
      <c r="AD107" s="187">
        <f t="shared" si="179"/>
        <v>597463.20248837734</v>
      </c>
      <c r="AE107" s="182">
        <f>VLOOKUP($H107,'Cost Drivers'!$A$2:$R$66,14,FALSE)</f>
        <v>6878</v>
      </c>
      <c r="AF107" s="264">
        <f>$N107</f>
        <v>86.865833452802747</v>
      </c>
      <c r="AG107" s="187">
        <f t="shared" si="180"/>
        <v>686138.74080478016</v>
      </c>
      <c r="AH107" s="182">
        <f>VLOOKUP($H107,'Cost Drivers'!$A$2:$R$66,16,FALSE)</f>
        <v>7898.8333333333339</v>
      </c>
      <c r="AI107" s="264">
        <f>$N107</f>
        <v>86.865833452802747</v>
      </c>
      <c r="AJ107" s="187">
        <f t="shared" si="181"/>
        <v>532921.88823294488</v>
      </c>
      <c r="AK107" s="182">
        <f>VLOOKUP($H107,'Cost Drivers'!$A$2:$R$66,18,FALSE)</f>
        <v>6135</v>
      </c>
      <c r="AL107" s="264">
        <f>$N107</f>
        <v>86.865833452802747</v>
      </c>
      <c r="AM107" s="187">
        <f t="shared" si="182"/>
        <v>686138.74080478016</v>
      </c>
      <c r="AN107" s="182">
        <f>VLOOKUP($H107,'Cost Drivers'!$A$3:$V$67,20,FALSE)</f>
        <v>7898.8333333333339</v>
      </c>
      <c r="AO107" s="264">
        <f>$N107</f>
        <v>86.865833452802747</v>
      </c>
      <c r="AP107" s="187">
        <f t="shared" si="183"/>
        <v>662525.71174452652</v>
      </c>
      <c r="AQ107" s="182">
        <f>VLOOKUP($H107,'Cost Drivers'!$A$3:$V$67,22,FALSE)</f>
        <v>7627</v>
      </c>
      <c r="AR107" s="264">
        <f>$N107</f>
        <v>86.865833452802747</v>
      </c>
    </row>
    <row r="108" spans="1:44" outlineLevel="1" x14ac:dyDescent="0.25">
      <c r="B108" s="260" t="s">
        <v>259</v>
      </c>
      <c r="C108" s="261" t="s">
        <v>255</v>
      </c>
      <c r="D108" s="182">
        <f t="shared" si="141"/>
        <v>3000</v>
      </c>
      <c r="E108" s="262" t="s">
        <v>230</v>
      </c>
      <c r="F108" s="262" t="s">
        <v>209</v>
      </c>
      <c r="G108" s="287">
        <v>326126.60833333334</v>
      </c>
      <c r="H108" s="180" t="s">
        <v>532</v>
      </c>
      <c r="I108" s="150">
        <v>0</v>
      </c>
      <c r="J108" s="255">
        <f t="shared" si="86"/>
        <v>1</v>
      </c>
      <c r="K108" s="263">
        <f t="shared" si="173"/>
        <v>0</v>
      </c>
      <c r="L108" s="257">
        <f t="shared" si="87"/>
        <v>326126.60833333334</v>
      </c>
      <c r="M108" s="462">
        <f>VLOOKUP($H108,'Cost Drivers'!$A$2:$R$66,2,FALSE)</f>
        <v>27646.333333333332</v>
      </c>
      <c r="N108" s="258">
        <f t="shared" si="88"/>
        <v>11.796378362410929</v>
      </c>
      <c r="O108" s="187">
        <f t="shared" si="174"/>
        <v>318366.55743392737</v>
      </c>
      <c r="P108" s="480">
        <f>VLOOKUP($H108,'Cost Drivers'!$A$2:$R$66,4,FALSE)</f>
        <v>26988.5</v>
      </c>
      <c r="Q108" s="264">
        <f>$N108</f>
        <v>11.796378362410929</v>
      </c>
      <c r="R108" s="187">
        <f t="shared" si="175"/>
        <v>312462.47006354068</v>
      </c>
      <c r="S108" s="182">
        <f>VLOOKUP($H108,'Cost Drivers'!$A$2:$R$66,6,FALSE)</f>
        <v>26488</v>
      </c>
      <c r="T108" s="264">
        <f>$N108</f>
        <v>11.796378362410929</v>
      </c>
      <c r="U108" s="187">
        <f t="shared" si="176"/>
        <v>318366.55743392737</v>
      </c>
      <c r="V108" s="182">
        <f>VLOOKUP($H108,'Cost Drivers'!$A$2:$R$66,8,FALSE)</f>
        <v>26988.5</v>
      </c>
      <c r="W108" s="264">
        <f>$N108</f>
        <v>11.796378362410929</v>
      </c>
      <c r="X108" s="187">
        <f t="shared" si="177"/>
        <v>305585.18147825508</v>
      </c>
      <c r="Y108" s="182">
        <f>VLOOKUP($H108,'Cost Drivers'!$A$2:$R$66,10,FALSE)</f>
        <v>25905</v>
      </c>
      <c r="Z108" s="264">
        <f>$N108</f>
        <v>11.796378362410929</v>
      </c>
      <c r="AA108" s="187">
        <f t="shared" si="178"/>
        <v>318366.55743392737</v>
      </c>
      <c r="AB108" s="182">
        <f>VLOOKUP($H108,'Cost Drivers'!$A$2:$R$66,12,FALSE)</f>
        <v>26988.5</v>
      </c>
      <c r="AC108" s="264">
        <f>$N108</f>
        <v>11.796378362410929</v>
      </c>
      <c r="AD108" s="187">
        <f t="shared" si="179"/>
        <v>291830.60430768394</v>
      </c>
      <c r="AE108" s="182">
        <f>VLOOKUP($H108,'Cost Drivers'!$A$2:$R$66,14,FALSE)</f>
        <v>24739</v>
      </c>
      <c r="AF108" s="264">
        <f>$N108</f>
        <v>11.796378362410929</v>
      </c>
      <c r="AG108" s="187">
        <f t="shared" si="180"/>
        <v>318366.55743392737</v>
      </c>
      <c r="AH108" s="182">
        <f>VLOOKUP($H108,'Cost Drivers'!$A$2:$R$66,16,FALSE)</f>
        <v>26988.5</v>
      </c>
      <c r="AI108" s="264">
        <f>$N108</f>
        <v>11.796378362410929</v>
      </c>
      <c r="AJ108" s="187">
        <f t="shared" si="181"/>
        <v>264309.65358817927</v>
      </c>
      <c r="AK108" s="182">
        <f>VLOOKUP($H108,'Cost Drivers'!$A$2:$R$66,18,FALSE)</f>
        <v>22406</v>
      </c>
      <c r="AL108" s="264">
        <f>$N108</f>
        <v>11.796378362410929</v>
      </c>
      <c r="AM108" s="187">
        <f t="shared" si="182"/>
        <v>318366.55743392737</v>
      </c>
      <c r="AN108" s="182">
        <f>VLOOKUP($H108,'Cost Drivers'!$A$3:$V$67,20,FALSE)</f>
        <v>26988.5</v>
      </c>
      <c r="AO108" s="264">
        <f>$N108</f>
        <v>11.796378362410929</v>
      </c>
      <c r="AP108" s="187">
        <f t="shared" si="183"/>
        <v>319351.55502718868</v>
      </c>
      <c r="AQ108" s="182">
        <f>VLOOKUP($H108,'Cost Drivers'!$A$3:$V$67,22,FALSE)</f>
        <v>27072</v>
      </c>
      <c r="AR108" s="264">
        <f>$N108</f>
        <v>11.796378362410929</v>
      </c>
    </row>
    <row r="109" spans="1:44" outlineLevel="1" x14ac:dyDescent="0.25">
      <c r="B109" s="260" t="s">
        <v>259</v>
      </c>
      <c r="C109" s="261" t="s">
        <v>256</v>
      </c>
      <c r="D109" s="182">
        <f t="shared" si="141"/>
        <v>3000</v>
      </c>
      <c r="E109" s="262" t="s">
        <v>230</v>
      </c>
      <c r="F109" s="262" t="s">
        <v>210</v>
      </c>
      <c r="G109" s="287">
        <v>0</v>
      </c>
      <c r="H109" s="180" t="s">
        <v>536</v>
      </c>
      <c r="I109" s="135">
        <v>0</v>
      </c>
      <c r="J109" s="255">
        <f t="shared" si="86"/>
        <v>1</v>
      </c>
      <c r="K109" s="263">
        <f t="shared" si="173"/>
        <v>0</v>
      </c>
      <c r="L109" s="257">
        <f t="shared" si="87"/>
        <v>0</v>
      </c>
      <c r="M109" s="462">
        <f>VLOOKUP($H109,'Cost Drivers'!$A$2:$R$66,2,FALSE)</f>
        <v>8137.833333333333</v>
      </c>
      <c r="N109" s="258">
        <f t="shared" si="88"/>
        <v>0</v>
      </c>
      <c r="O109" s="187">
        <f t="shared" si="174"/>
        <v>0</v>
      </c>
      <c r="P109" s="480">
        <f>VLOOKUP($H109,'Cost Drivers'!$A$2:$R$66,4,FALSE)</f>
        <v>7898.8333333333339</v>
      </c>
      <c r="Q109" s="264">
        <f>$N109</f>
        <v>0</v>
      </c>
      <c r="R109" s="187">
        <f t="shared" si="175"/>
        <v>0</v>
      </c>
      <c r="S109" s="182">
        <f>VLOOKUP($H109,'Cost Drivers'!$A$2:$R$66,6,FALSE)</f>
        <v>7442</v>
      </c>
      <c r="T109" s="264">
        <f>$N109</f>
        <v>0</v>
      </c>
      <c r="U109" s="187">
        <f t="shared" si="176"/>
        <v>0</v>
      </c>
      <c r="V109" s="182">
        <f>VLOOKUP($H109,'Cost Drivers'!$A$2:$R$66,8,FALSE)</f>
        <v>7898.8333333333339</v>
      </c>
      <c r="W109" s="264">
        <f>$N109</f>
        <v>0</v>
      </c>
      <c r="X109" s="187">
        <f t="shared" si="177"/>
        <v>0</v>
      </c>
      <c r="Y109" s="182">
        <f>VLOOKUP($H109,'Cost Drivers'!$A$2:$R$66,10,FALSE)</f>
        <v>7254</v>
      </c>
      <c r="Z109" s="264">
        <f>$N109</f>
        <v>0</v>
      </c>
      <c r="AA109" s="187">
        <f t="shared" si="178"/>
        <v>0</v>
      </c>
      <c r="AB109" s="182">
        <f>VLOOKUP($H109,'Cost Drivers'!$A$2:$R$66,12,FALSE)</f>
        <v>7898.8333333333339</v>
      </c>
      <c r="AC109" s="264">
        <f>$N109</f>
        <v>0</v>
      </c>
      <c r="AD109" s="187">
        <f t="shared" si="179"/>
        <v>0</v>
      </c>
      <c r="AE109" s="182">
        <f>VLOOKUP($H109,'Cost Drivers'!$A$2:$R$66,14,FALSE)</f>
        <v>6878</v>
      </c>
      <c r="AF109" s="264">
        <f>$N109</f>
        <v>0</v>
      </c>
      <c r="AG109" s="187">
        <f t="shared" si="180"/>
        <v>0</v>
      </c>
      <c r="AH109" s="182">
        <f>VLOOKUP($H109,'Cost Drivers'!$A$2:$R$66,16,FALSE)</f>
        <v>7898.8333333333339</v>
      </c>
      <c r="AI109" s="264">
        <f>$N109</f>
        <v>0</v>
      </c>
      <c r="AJ109" s="187">
        <f t="shared" si="181"/>
        <v>0</v>
      </c>
      <c r="AK109" s="182">
        <f>VLOOKUP($H109,'Cost Drivers'!$A$2:$R$66,18,FALSE)</f>
        <v>6135</v>
      </c>
      <c r="AL109" s="264">
        <f>$N109</f>
        <v>0</v>
      </c>
      <c r="AM109" s="187">
        <f t="shared" si="182"/>
        <v>0</v>
      </c>
      <c r="AN109" s="182">
        <f>VLOOKUP($H109,'Cost Drivers'!$A$3:$V$67,20,FALSE)</f>
        <v>7898.8333333333339</v>
      </c>
      <c r="AO109" s="264">
        <f>$N109</f>
        <v>0</v>
      </c>
      <c r="AP109" s="187">
        <f t="shared" si="183"/>
        <v>0</v>
      </c>
      <c r="AQ109" s="182">
        <f>VLOOKUP($H109,'Cost Drivers'!$A$3:$V$67,22,FALSE)</f>
        <v>7627</v>
      </c>
      <c r="AR109" s="264">
        <f>$N109</f>
        <v>0</v>
      </c>
    </row>
    <row r="110" spans="1:44" outlineLevel="1" x14ac:dyDescent="0.25">
      <c r="B110" s="250" t="s">
        <v>259</v>
      </c>
      <c r="C110" s="251" t="s">
        <v>257</v>
      </c>
      <c r="D110" s="182">
        <f t="shared" si="141"/>
        <v>4000</v>
      </c>
      <c r="E110" s="252" t="s">
        <v>230</v>
      </c>
      <c r="F110" s="252" t="s">
        <v>211</v>
      </c>
      <c r="G110" s="287">
        <v>417735.06166666653</v>
      </c>
      <c r="H110" s="180" t="s">
        <v>93</v>
      </c>
      <c r="I110" s="135">
        <v>1</v>
      </c>
      <c r="J110" s="255">
        <f t="shared" si="86"/>
        <v>0</v>
      </c>
      <c r="K110" s="256">
        <f t="shared" si="173"/>
        <v>417735.06166666653</v>
      </c>
      <c r="L110" s="257">
        <f t="shared" si="87"/>
        <v>0</v>
      </c>
      <c r="M110" s="462">
        <f>VLOOKUP($H110,'Cost Drivers'!$A$2:$R$66,2,FALSE)</f>
        <v>1</v>
      </c>
      <c r="N110" s="258">
        <f t="shared" si="88"/>
        <v>0</v>
      </c>
      <c r="O110" s="187">
        <f t="shared" si="174"/>
        <v>0</v>
      </c>
      <c r="P110" s="480">
        <f>VLOOKUP($H110,'Cost Drivers'!$A$2:$R$66,4,FALSE)</f>
        <v>1</v>
      </c>
      <c r="Q110" s="264">
        <f>$N110</f>
        <v>0</v>
      </c>
      <c r="R110" s="187">
        <f t="shared" si="175"/>
        <v>0</v>
      </c>
      <c r="S110" s="182">
        <f>VLOOKUP($H110,'Cost Drivers'!$A$2:$R$66,6,FALSE)</f>
        <v>1</v>
      </c>
      <c r="T110" s="264">
        <f>$N110</f>
        <v>0</v>
      </c>
      <c r="U110" s="187">
        <f t="shared" si="176"/>
        <v>0</v>
      </c>
      <c r="V110" s="182">
        <f>VLOOKUP($H110,'Cost Drivers'!$A$2:$R$66,8,FALSE)</f>
        <v>1</v>
      </c>
      <c r="W110" s="264">
        <f>$N110</f>
        <v>0</v>
      </c>
      <c r="X110" s="187">
        <f t="shared" si="177"/>
        <v>0</v>
      </c>
      <c r="Y110" s="182">
        <f>VLOOKUP($H110,'Cost Drivers'!$A$2:$R$66,10,FALSE)</f>
        <v>1</v>
      </c>
      <c r="Z110" s="264">
        <f>$N110</f>
        <v>0</v>
      </c>
      <c r="AA110" s="187">
        <f t="shared" si="178"/>
        <v>0</v>
      </c>
      <c r="AB110" s="182">
        <f>VLOOKUP($H110,'Cost Drivers'!$A$2:$R$66,12,FALSE)</f>
        <v>1</v>
      </c>
      <c r="AC110" s="264">
        <f>$N110</f>
        <v>0</v>
      </c>
      <c r="AD110" s="187">
        <f t="shared" si="179"/>
        <v>0</v>
      </c>
      <c r="AE110" s="182">
        <f>VLOOKUP($H110,'Cost Drivers'!$A$2:$R$66,14,FALSE)</f>
        <v>1</v>
      </c>
      <c r="AF110" s="264">
        <f>$N110</f>
        <v>0</v>
      </c>
      <c r="AG110" s="187">
        <f t="shared" si="180"/>
        <v>0</v>
      </c>
      <c r="AH110" s="182">
        <f>VLOOKUP($H110,'Cost Drivers'!$A$2:$R$66,16,FALSE)</f>
        <v>1</v>
      </c>
      <c r="AI110" s="264">
        <f>$N110</f>
        <v>0</v>
      </c>
      <c r="AJ110" s="187">
        <f t="shared" si="181"/>
        <v>0</v>
      </c>
      <c r="AK110" s="182">
        <f>VLOOKUP($H110,'Cost Drivers'!$A$2:$R$66,18,FALSE)</f>
        <v>1</v>
      </c>
      <c r="AL110" s="264">
        <f>$N110</f>
        <v>0</v>
      </c>
      <c r="AM110" s="187">
        <f t="shared" si="182"/>
        <v>0</v>
      </c>
      <c r="AN110" s="182">
        <f>VLOOKUP($H110,'Cost Drivers'!$A$3:$V$67,20,FALSE)</f>
        <v>1</v>
      </c>
      <c r="AO110" s="264">
        <f>$N110</f>
        <v>0</v>
      </c>
      <c r="AP110" s="187">
        <f t="shared" si="183"/>
        <v>0</v>
      </c>
      <c r="AQ110" s="182">
        <f>VLOOKUP($H110,'Cost Drivers'!$A$3:$V$67,22,FALSE)</f>
        <v>1</v>
      </c>
      <c r="AR110" s="264">
        <f>$N110</f>
        <v>0</v>
      </c>
    </row>
    <row r="111" spans="1:44" outlineLevel="1" x14ac:dyDescent="0.25">
      <c r="B111" s="250" t="s">
        <v>259</v>
      </c>
      <c r="C111" s="251" t="s">
        <v>258</v>
      </c>
      <c r="D111" s="182">
        <f t="shared" si="141"/>
        <v>5000</v>
      </c>
      <c r="E111" s="252" t="s">
        <v>230</v>
      </c>
      <c r="F111" s="252" t="s">
        <v>212</v>
      </c>
      <c r="G111" s="287">
        <v>0</v>
      </c>
      <c r="H111" s="180" t="s">
        <v>93</v>
      </c>
      <c r="I111" s="135">
        <v>1</v>
      </c>
      <c r="J111" s="255">
        <f t="shared" si="86"/>
        <v>0</v>
      </c>
      <c r="K111" s="256">
        <f t="shared" si="173"/>
        <v>0</v>
      </c>
      <c r="L111" s="257">
        <f t="shared" si="87"/>
        <v>0</v>
      </c>
      <c r="M111" s="462">
        <f>VLOOKUP($H111,'Cost Drivers'!$A$2:$R$66,2,FALSE)</f>
        <v>1</v>
      </c>
      <c r="N111" s="258">
        <f t="shared" si="88"/>
        <v>0</v>
      </c>
      <c r="O111" s="187">
        <f t="shared" si="174"/>
        <v>0</v>
      </c>
      <c r="P111" s="480">
        <f>VLOOKUP($H111,'Cost Drivers'!$A$2:$R$66,4,FALSE)</f>
        <v>1</v>
      </c>
      <c r="Q111" s="264">
        <f>N111</f>
        <v>0</v>
      </c>
      <c r="R111" s="187">
        <f t="shared" si="175"/>
        <v>0</v>
      </c>
      <c r="S111" s="182">
        <f>VLOOKUP($H111,'Cost Drivers'!$A$2:$R$66,6,FALSE)</f>
        <v>1</v>
      </c>
      <c r="T111" s="264">
        <f>Q111</f>
        <v>0</v>
      </c>
      <c r="U111" s="187">
        <f t="shared" si="176"/>
        <v>0</v>
      </c>
      <c r="V111" s="182">
        <f>VLOOKUP($H111,'Cost Drivers'!$A$2:$R$66,8,FALSE)</f>
        <v>1</v>
      </c>
      <c r="W111" s="264">
        <f>T111</f>
        <v>0</v>
      </c>
      <c r="X111" s="187">
        <f t="shared" si="177"/>
        <v>0</v>
      </c>
      <c r="Y111" s="182">
        <f>VLOOKUP($H111,'Cost Drivers'!$A$2:$R$66,10,FALSE)</f>
        <v>1</v>
      </c>
      <c r="Z111" s="264">
        <f>W111</f>
        <v>0</v>
      </c>
      <c r="AA111" s="187">
        <f t="shared" si="178"/>
        <v>0</v>
      </c>
      <c r="AB111" s="182">
        <f>VLOOKUP($H111,'Cost Drivers'!$A$2:$R$66,12,FALSE)</f>
        <v>1</v>
      </c>
      <c r="AC111" s="264">
        <f>Z111</f>
        <v>0</v>
      </c>
      <c r="AD111" s="187">
        <f t="shared" si="179"/>
        <v>0</v>
      </c>
      <c r="AE111" s="182">
        <f>VLOOKUP($H111,'Cost Drivers'!$A$2:$R$66,14,FALSE)</f>
        <v>1</v>
      </c>
      <c r="AF111" s="264">
        <f>AC111</f>
        <v>0</v>
      </c>
      <c r="AG111" s="187">
        <f t="shared" si="180"/>
        <v>0</v>
      </c>
      <c r="AH111" s="182">
        <f>VLOOKUP($H111,'Cost Drivers'!$A$2:$R$66,16,FALSE)</f>
        <v>1</v>
      </c>
      <c r="AI111" s="264">
        <f>AF111</f>
        <v>0</v>
      </c>
      <c r="AJ111" s="187">
        <f t="shared" si="181"/>
        <v>0</v>
      </c>
      <c r="AK111" s="182">
        <f>VLOOKUP($H111,'Cost Drivers'!$A$2:$R$66,18,FALSE)</f>
        <v>1</v>
      </c>
      <c r="AL111" s="264">
        <f>AI111</f>
        <v>0</v>
      </c>
      <c r="AM111" s="187">
        <f t="shared" si="182"/>
        <v>0</v>
      </c>
      <c r="AN111" s="182">
        <f>VLOOKUP($H111,'Cost Drivers'!$A$3:$V$67,20,FALSE)</f>
        <v>1</v>
      </c>
      <c r="AO111" s="264">
        <f>AL111</f>
        <v>0</v>
      </c>
      <c r="AP111" s="187">
        <f t="shared" si="183"/>
        <v>0</v>
      </c>
      <c r="AQ111" s="182">
        <f>VLOOKUP($H111,'Cost Drivers'!$A$3:$V$67,22,FALSE)</f>
        <v>1</v>
      </c>
      <c r="AR111" s="264">
        <f>AO111</f>
        <v>0</v>
      </c>
    </row>
    <row r="112" spans="1:44" s="249" customFormat="1" ht="30" customHeight="1" x14ac:dyDescent="0.25">
      <c r="A112" s="204" t="s">
        <v>283</v>
      </c>
      <c r="B112" s="238" t="s">
        <v>333</v>
      </c>
      <c r="C112" s="239" t="s">
        <v>196</v>
      </c>
      <c r="D112" s="182">
        <f t="shared" si="141"/>
        <v>0</v>
      </c>
      <c r="E112" s="240" t="s">
        <v>335</v>
      </c>
      <c r="F112" s="240" t="s">
        <v>235</v>
      </c>
      <c r="G112" s="241">
        <f>SUM(G113,G128,G118)</f>
        <v>69655296.936666667</v>
      </c>
      <c r="H112" s="181" t="s">
        <v>270</v>
      </c>
      <c r="I112" s="242">
        <f>K112/G112</f>
        <v>0.66737149860165734</v>
      </c>
      <c r="J112" s="243">
        <f t="shared" si="86"/>
        <v>0.33262850139834266</v>
      </c>
      <c r="K112" s="241">
        <f>SUMIFS(K$19:K$168,$E$19:$E$168,$E112,$F$19:$F$168,"&lt;&gt;"&amp;$F112,$C$19:$C$168,"1000")+SUMIFS(K$19:K$168,$E$19:$E$168,$E112,$F$19:$F$168,"&lt;&gt;"&amp;$F112,$C$19:$C$168,"2000")+SUMIFS(K$19:K$168,$E$19:$E$168,$E112,$F$19:$F$168,"&lt;&gt;"&amp;$F112,$C$19:$C$168,"3000")+SUMIFS(K$19:K$168,$E$19:$E$168,$E112,$F$19:$F$168,"&lt;&gt;"&amp;$F112,$C$19:$C$168,"4000")+SUMIFS(K$19:K$168,$E$19:$E$168,$E112,$F$19:$F$168,"&lt;&gt;"&amp;$F112,$C$19:$C$168,"5000")</f>
        <v>46485959.902166665</v>
      </c>
      <c r="L112" s="244">
        <f t="shared" si="87"/>
        <v>23169337.034500003</v>
      </c>
      <c r="M112" s="461">
        <f>VLOOKUP($H112,'Cost Drivers'!$A$2:$R$66,2,FALSE)</f>
        <v>27071.666666666668</v>
      </c>
      <c r="N112" s="245">
        <f t="shared" si="88"/>
        <v>855.85188824108855</v>
      </c>
      <c r="O112" s="246">
        <f>SUMIFS(O$19:O$168, $E$19:$E$168,$E112,$C$19:$C$168,"1000")+SUMIFS(O$19:O$168, $E$19:$E$168,$E112,$C$19:$C$168,"2000")+SUMIFS(O$19:O$168, $E$19:$E$168,$E112,$C$19:$C$168,"3000")+SUMIFS(O$19:O$168, $E$19:$E$168,$E112,$C$19:$C$168,"4000")+SUMIFS(O$19:O$168, $E$19:$E$168,$E112,$C$19:$C$168,"5000")</f>
        <v>22998547.558499936</v>
      </c>
      <c r="P112" s="479">
        <f>VLOOKUP($H112,'Cost Drivers'!$A$2:$R$66,4,FALSE)</f>
        <v>26877</v>
      </c>
      <c r="Q112" s="248">
        <f>O112/P112</f>
        <v>855.69622943408626</v>
      </c>
      <c r="R112" s="246">
        <f>SUMIFS(R$19:R$168, $E$19:$E$168,$E112,$C$19:$C$168,"1000")+SUMIFS(R$19:R$168, $E$19:$E$168,$E112,$C$19:$C$168,"2000")+SUMIFS(R$19:R$168, $E$19:$E$168,$E112,$C$19:$C$168,"3000")+SUMIFS(R$19:R$168, $E$19:$E$168,$E112,$C$19:$C$168,"4000")+SUMIFS(R$19:R$168, $E$19:$E$168,$E112,$C$19:$C$168,"5000")</f>
        <v>22845056.85503307</v>
      </c>
      <c r="S112" s="247">
        <f>VLOOKUP($H112,'Cost Drivers'!$A$2:$R$66,6,FALSE)</f>
        <v>26100</v>
      </c>
      <c r="T112" s="248">
        <f>R112/S112</f>
        <v>875.28953467559654</v>
      </c>
      <c r="U112" s="246">
        <f>SUMIFS(U$19:U$168, $E$19:$E$168,$E112,$C$19:$C$168,"1000")+SUMIFS(U$19:U$168, $E$19:$E$168,$E112,$C$19:$C$168,"2000")+SUMIFS(U$19:U$168, $E$19:$E$168,$E112,$C$19:$C$168,"3000")+SUMIFS(U$19:U$168, $E$19:$E$168,$E112,$C$19:$C$168,"4000")+SUMIFS(U$19:U$168, $E$19:$E$168,$E112,$C$19:$C$168,"5000")</f>
        <v>22974948.469903007</v>
      </c>
      <c r="V112" s="247">
        <f>VLOOKUP($H112,'Cost Drivers'!$A$2:$R$66,8,FALSE)</f>
        <v>26683</v>
      </c>
      <c r="W112" s="248">
        <f>U112/V112</f>
        <v>861.03318479567542</v>
      </c>
      <c r="X112" s="246">
        <f>SUMIFS(X$19:X$168, $E$19:$E$168,$E112,$C$19:$C$168,"1000")+SUMIFS(X$19:X$168, $E$19:$E$168,$E112,$C$19:$C$168,"2000")+SUMIFS(X$19:X$168, $E$19:$E$168,$E112,$C$19:$C$168,"3000")+SUMIFS(X$19:X$168, $E$19:$E$168,$E112,$C$19:$C$168,"4000")+SUMIFS(X$19:X$168, $E$19:$E$168,$E112,$C$19:$C$168,"5000")</f>
        <v>22568222.859887615</v>
      </c>
      <c r="Y112" s="247">
        <f>VLOOKUP($H112,'Cost Drivers'!$A$2:$R$66,10,FALSE)</f>
        <v>25128</v>
      </c>
      <c r="Z112" s="248">
        <f>X112/Y112</f>
        <v>898.1304863056198</v>
      </c>
      <c r="AA112" s="246">
        <f>SUMIFS(AA$19:AA$168, $E$19:$E$168,$E112,$C$19:$C$168,"1000")+SUMIFS(AA$19:AA$168, $E$19:$E$168,$E112,$C$19:$C$168,"2000")+SUMIFS(AA$19:AA$168, $E$19:$E$168,$E112,$C$19:$C$168,"3000")+SUMIFS(AA$19:AA$168, $E$19:$E$168,$E112,$C$19:$C$168,"4000")+SUMIFS(AA$19:AA$168, $E$19:$E$168,$E112,$C$19:$C$168,"5000")</f>
        <v>22925116.911254056</v>
      </c>
      <c r="AB112" s="247">
        <f>VLOOKUP($H112,'Cost Drivers'!$A$2:$R$66,12,FALSE)</f>
        <v>26294</v>
      </c>
      <c r="AC112" s="248">
        <f>AA112/AB112</f>
        <v>871.87635625062967</v>
      </c>
      <c r="AD112" s="246">
        <f>SUMIFS(AD$19:AD$168, $E$19:$E$168,$E112,$C$19:$C$168,"1000")+SUMIFS(AD$19:AD$168, $E$19:$E$168,$E112,$C$19:$C$168,"2000")+SUMIFS(AD$19:AD$168, $E$19:$E$168,$E112,$C$19:$C$168,"3000")+SUMIFS(AD$19:AD$168, $E$19:$E$168,$E112,$C$19:$C$168,"4000")+SUMIFS(AD$19:AD$168, $E$19:$E$168,$E112,$C$19:$C$168,"5000")</f>
        <v>22058868.154984113</v>
      </c>
      <c r="AE112" s="247">
        <f>VLOOKUP($H112,'Cost Drivers'!$A$2:$R$66,14,FALSE)</f>
        <v>23184</v>
      </c>
      <c r="AF112" s="248">
        <f>AD112/AE112</f>
        <v>951.46946838268252</v>
      </c>
      <c r="AG112" s="246">
        <f>SUMIFS(AG$19:AG$168, $E$19:$E$168,$E112,$C$19:$C$168,"1000")+SUMIFS(AG$19:AG$168, $E$19:$E$168,$E112,$C$19:$C$168,"2000")+SUMIFS(AG$19:AG$168, $E$19:$E$168,$E112,$C$19:$C$168,"3000")+SUMIFS(AG$19:AG$168, $E$19:$E$168,$E112,$C$19:$C$168,"4000")+SUMIFS(AG$19:AG$168, $E$19:$E$168,$E112,$C$19:$C$168,"5000")</f>
        <v>22828251.573250975</v>
      </c>
      <c r="AH112" s="247">
        <f>VLOOKUP($H112,'Cost Drivers'!$A$2:$R$66,16,FALSE)</f>
        <v>25517</v>
      </c>
      <c r="AI112" s="248">
        <f>AG112/AH112</f>
        <v>894.62913247054803</v>
      </c>
      <c r="AJ112" s="246">
        <f>SUMIFS(AJ$19:AJ$168, $E$19:$E$168,$E112,$C$19:$C$168,"1000")+SUMIFS(AJ$19:AJ$168, $E$19:$E$168,$E112,$C$19:$C$168,"2000")+SUMIFS(AJ$19:AJ$168, $E$19:$E$168,$E112,$C$19:$C$168,"3000")+SUMIFS(AJ$19:AJ$168, $E$19:$E$168,$E112,$C$19:$C$168,"4000")+SUMIFS(AJ$19:AJ$168, $E$19:$E$168,$E112,$C$19:$C$168,"5000")</f>
        <v>20906467.724877726</v>
      </c>
      <c r="AK112" s="247">
        <f>VLOOKUP($H112,'Cost Drivers'!$A$2:$R$66,18,FALSE)</f>
        <v>19296</v>
      </c>
      <c r="AL112" s="248">
        <f>AJ112/AK112</f>
        <v>1083.4612212312254</v>
      </c>
      <c r="AM112" s="246">
        <f>SUMIFS(AM$19:AM$168, $E$19:$E$168,$E112,$C$19:$C$168,"1000")+SUMIFS(AM$19:AM$168, $E$19:$E$168,$E112,$C$19:$C$168,"2000")+SUMIFS(AM$19:AM$168, $E$19:$E$168,$E112,$C$19:$C$168,"3000")+SUMIFS(AM$19:AM$168, $E$19:$E$168,$E112,$C$19:$C$168,"4000")+SUMIFS(AM$19:AM$168, $E$19:$E$168,$E112,$C$19:$C$168,"5000")</f>
        <v>23004789.465589181</v>
      </c>
      <c r="AN112" s="247">
        <f>VLOOKUP($H112,'Cost Drivers'!$A$3:$V$67,20,FALSE)</f>
        <v>27072</v>
      </c>
      <c r="AO112" s="248">
        <f>AM112/AN112</f>
        <v>849.76320425491951</v>
      </c>
      <c r="AP112" s="246">
        <f>SUMIFS(AP$19:AP$168, $E$19:$E$168,$E112,$C$19:$C$168,"1000")+SUMIFS(AP$19:AP$168, $E$19:$E$168,$E112,$C$19:$C$168,"2000")+SUMIFS(AP$19:AP$168, $E$19:$E$168,$E112,$C$19:$C$168,"3000")+SUMIFS(AP$19:AP$168, $E$19:$E$168,$E112,$C$19:$C$168,"4000")+SUMIFS(AP$19:AP$168, $E$19:$E$168,$E112,$C$19:$C$168,"5000")</f>
        <v>23102461.583626054</v>
      </c>
      <c r="AQ112" s="247">
        <f>VLOOKUP($H112,'Cost Drivers'!$A$3:$V$67,22,FALSE)</f>
        <v>27072</v>
      </c>
      <c r="AR112" s="248">
        <f>AP112/AQ112</f>
        <v>853.37106913512321</v>
      </c>
    </row>
    <row r="113" spans="2:44" outlineLevel="1" x14ac:dyDescent="0.25">
      <c r="B113" s="250" t="s">
        <v>333</v>
      </c>
      <c r="C113" s="251" t="s">
        <v>238</v>
      </c>
      <c r="D113" s="182">
        <f t="shared" si="141"/>
        <v>1000</v>
      </c>
      <c r="E113" s="252" t="s">
        <v>335</v>
      </c>
      <c r="F113" s="252" t="s">
        <v>234</v>
      </c>
      <c r="G113" s="253">
        <f>SUM(G114:G117)</f>
        <v>24494174.220000003</v>
      </c>
      <c r="H113" s="181" t="s">
        <v>270</v>
      </c>
      <c r="I113" s="254">
        <f>K113/G113</f>
        <v>0.75</v>
      </c>
      <c r="J113" s="255">
        <f t="shared" si="86"/>
        <v>0.25</v>
      </c>
      <c r="K113" s="256">
        <f>SUMIFS(K$19:K$168, $B$19:$B$168,$B113,$D$19:$D$168,$C113,$F$19:$F$168,"&lt;&gt;"&amp;$F113)</f>
        <v>18370630.665000003</v>
      </c>
      <c r="L113" s="257">
        <f t="shared" si="87"/>
        <v>6123543.5550000006</v>
      </c>
      <c r="M113" s="462">
        <f>VLOOKUP($H113,'Cost Drivers'!$A$2:$R$66,2,FALSE)</f>
        <v>27071.666666666668</v>
      </c>
      <c r="N113" s="258">
        <f t="shared" si="88"/>
        <v>226.19750864987995</v>
      </c>
      <c r="O113" s="256">
        <f>SUMIFS(O$19:O$168, $E$19:$E$168,$E113,$C$19:$C$168,"1100")+SUMIFS(O$19:O$168, $E$19:$E$168,$E113,$C$19:$C$168,"1200")+SUMIFS(O$19:O$168, $E$19:$E$168,$E113,$C$19:$C$168,"1300")+SUMIFS(O$19:O$168, $E$19:$E$168,$E113,$C$19:$C$168,"1400-1800")</f>
        <v>6071973.7724908814</v>
      </c>
      <c r="P113" s="480">
        <f>VLOOKUP($H113,'Cost Drivers'!$A$2:$R$66,4,FALSE)</f>
        <v>26877</v>
      </c>
      <c r="Q113" s="264">
        <f>O113/P113</f>
        <v>225.91709537860928</v>
      </c>
      <c r="R113" s="256">
        <f>SUMIFS(R$19:R$168, $E$19:$E$168,$E113,$C$19:$C$168,"1100")+SUMIFS(R$19:R$168, $E$19:$E$168,$E113,$C$19:$C$168,"1200")+SUMIFS(R$19:R$168, $E$19:$E$168,$E113,$C$19:$C$168,"1300")+SUMIFS(R$19:R$168, $E$19:$E$168,$E113,$C$19:$C$168,"1400-1800")</f>
        <v>5954140.5190067003</v>
      </c>
      <c r="S113" s="182">
        <f>VLOOKUP($H113,'Cost Drivers'!$A$2:$R$66,6,FALSE)</f>
        <v>26100</v>
      </c>
      <c r="T113" s="264">
        <f>R113/S113</f>
        <v>228.12798923397318</v>
      </c>
      <c r="U113" s="256">
        <f>SUMIFS(U$19:U$168, $E$19:$E$168,$E113,$C$19:$C$168,"1100")+SUMIFS(U$19:U$168, $E$19:$E$168,$E113,$C$19:$C$168,"1200")+SUMIFS(U$19:U$168, $E$19:$E$168,$E113,$C$19:$C$168,"1300")+SUMIFS(U$19:U$168, $E$19:$E$168,$E113,$C$19:$C$168,"1400-1800")</f>
        <v>6048443.5949471127</v>
      </c>
      <c r="V113" s="182">
        <f>VLOOKUP($H113,'Cost Drivers'!$A$2:$R$66,8,FALSE)</f>
        <v>26683</v>
      </c>
      <c r="W113" s="264">
        <f>U113/V113</f>
        <v>226.6777946612867</v>
      </c>
      <c r="X113" s="256">
        <f>SUMIFS(X$19:X$168, $E$19:$E$168,$E113,$C$19:$C$168,"1100")+SUMIFS(X$19:X$168, $E$19:$E$168,$E113,$C$19:$C$168,"1200")+SUMIFS(X$19:X$168, $E$19:$E$168,$E113,$C$19:$C$168,"1300")+SUMIFS(X$19:X$168, $E$19:$E$168,$E113,$C$19:$C$168,"1400-1800")</f>
        <v>5809181.7399495821</v>
      </c>
      <c r="Y113" s="182">
        <f>VLOOKUP($H113,'Cost Drivers'!$A$2:$R$66,10,FALSE)</f>
        <v>25128</v>
      </c>
      <c r="Z113" s="264">
        <f>X113/Y113</f>
        <v>231.18360951725495</v>
      </c>
      <c r="AA113" s="256">
        <f>SUMIFS(AA$19:AA$168, $E$19:$E$168,$E113,$C$19:$C$168,"1100")+SUMIFS(AA$19:AA$168, $E$19:$E$168,$E113,$C$19:$C$168,"1200")+SUMIFS(AA$19:AA$168, $E$19:$E$168,$E113,$C$19:$C$168,"1300")+SUMIFS(AA$19:AA$168, $E$19:$E$168,$E113,$C$19:$C$168,"1400-1800")</f>
        <v>5998750.2136160992</v>
      </c>
      <c r="AB113" s="182">
        <f>VLOOKUP($H113,'Cost Drivers'!$A$2:$R$66,12,FALSE)</f>
        <v>26294</v>
      </c>
      <c r="AC113" s="264">
        <f>AA113/AB113</f>
        <v>228.14140920423287</v>
      </c>
      <c r="AD113" s="256">
        <f>SUMIFS(AD$19:AD$168, $E$19:$E$168,$E113,$C$19:$C$168,"1100")+SUMIFS(AD$19:AD$168, $E$19:$E$168,$E113,$C$19:$C$168,"1200")+SUMIFS(AD$19:AD$168, $E$19:$E$168,$E113,$C$19:$C$168,"1300")+SUMIFS(AD$19:AD$168, $E$19:$E$168,$E113,$C$19:$C$168,"1400-1800")</f>
        <v>5520827.9569186345</v>
      </c>
      <c r="AE113" s="182">
        <f>VLOOKUP($H113,'Cost Drivers'!$A$2:$R$66,14,FALSE)</f>
        <v>23184</v>
      </c>
      <c r="AF113" s="264">
        <f>AD113/AE113</f>
        <v>238.13095052271544</v>
      </c>
      <c r="AG113" s="256">
        <f>SUMIFS(AG$19:AG$168, $E$19:$E$168,$E113,$C$19:$C$168,"1100")+SUMIFS(AG$19:AG$168, $E$19:$E$168,$E113,$C$19:$C$168,"1200")+SUMIFS(AG$19:AG$168, $E$19:$E$168,$E113,$C$19:$C$168,"1300")+SUMIFS(AG$19:AG$168, $E$19:$E$168,$E113,$C$19:$C$168,"1400-1800")</f>
        <v>5902160.875037278</v>
      </c>
      <c r="AH113" s="182">
        <f>VLOOKUP($H113,'Cost Drivers'!$A$2:$R$66,16,FALSE)</f>
        <v>25517</v>
      </c>
      <c r="AI113" s="264">
        <f>AG113/AH113</f>
        <v>231.30308715904212</v>
      </c>
      <c r="AJ113" s="256">
        <f>SUMIFS(AJ$19:AJ$168, $E$19:$E$168,$E113,$C$19:$C$168,"1100")+SUMIFS(AJ$19:AJ$168, $E$19:$E$168,$E113,$C$19:$C$168,"1200")+SUMIFS(AJ$19:AJ$168, $E$19:$E$168,$E113,$C$19:$C$168,"1300")+SUMIFS(AJ$19:AJ$168, $E$19:$E$168,$E113,$C$19:$C$168,"1400-1800")</f>
        <v>4944241.8918993687</v>
      </c>
      <c r="AK113" s="182">
        <f>VLOOKUP($H113,'Cost Drivers'!$A$2:$R$66,18,FALSE)</f>
        <v>19296</v>
      </c>
      <c r="AL113" s="264">
        <f>AJ113/AK113</f>
        <v>256.23144132977654</v>
      </c>
      <c r="AM113" s="256">
        <f>SUMIFS(AM$19:AM$168, $E$19:$E$168,$E113,$C$19:$C$168,"1100")+SUMIFS(AM$19:AM$168, $E$19:$E$168,$E113,$C$19:$C$168,"1200")+SUMIFS(AM$19:AM$168, $E$19:$E$168,$E113,$C$19:$C$168,"1300")+SUMIFS(AM$19:AM$168, $E$19:$E$168,$E113,$C$19:$C$168,"1400-1800")</f>
        <v>6096820.4631563881</v>
      </c>
      <c r="AN113" s="182">
        <f>VLOOKUP($H113,'Cost Drivers'!$A$3:$V$67,20,FALSE)</f>
        <v>27072</v>
      </c>
      <c r="AO113" s="264">
        <f>AM113/AN113</f>
        <v>225.20761167096586</v>
      </c>
      <c r="AP113" s="256">
        <f>SUMIFS(AP$19:AP$168, $E$19:$E$168,$E113,$C$19:$C$168,"1100")+SUMIFS(AP$19:AP$168, $E$19:$E$168,$E113,$C$19:$C$168,"1200")+SUMIFS(AP$19:AP$168, $E$19:$E$168,$E113,$C$19:$C$168,"1300")+SUMIFS(AP$19:AP$168, $E$19:$E$168,$E113,$C$19:$C$168,"1400-1800")</f>
        <v>6097866.1159971524</v>
      </c>
      <c r="AQ113" s="182">
        <f>VLOOKUP($H113,'Cost Drivers'!$A$3:$V$67,22,FALSE)</f>
        <v>27072</v>
      </c>
      <c r="AR113" s="264">
        <f>AP113/AQ113</f>
        <v>225.24623655426834</v>
      </c>
    </row>
    <row r="114" spans="2:44" outlineLevel="1" x14ac:dyDescent="0.25">
      <c r="B114" s="260" t="s">
        <v>333</v>
      </c>
      <c r="C114" s="261" t="s">
        <v>239</v>
      </c>
      <c r="D114" s="182">
        <f t="shared" si="141"/>
        <v>1000</v>
      </c>
      <c r="E114" s="262" t="s">
        <v>335</v>
      </c>
      <c r="F114" s="262" t="s">
        <v>175</v>
      </c>
      <c r="G114" s="287">
        <v>3986887.8166666669</v>
      </c>
      <c r="H114" s="180" t="s">
        <v>537</v>
      </c>
      <c r="I114" s="150">
        <v>0.75</v>
      </c>
      <c r="J114" s="255">
        <f t="shared" si="86"/>
        <v>0.25</v>
      </c>
      <c r="K114" s="263">
        <f>G114*I114</f>
        <v>2990165.8625000003</v>
      </c>
      <c r="L114" s="257">
        <f t="shared" si="87"/>
        <v>996721.95416666672</v>
      </c>
      <c r="M114" s="462">
        <f>VLOOKUP($H114,'Cost Drivers'!$A$2:$R$66,2,FALSE)</f>
        <v>23601.333333333332</v>
      </c>
      <c r="N114" s="258">
        <f t="shared" si="88"/>
        <v>42.231595142929784</v>
      </c>
      <c r="O114" s="187">
        <f>P114*Q114</f>
        <v>972994.83629553078</v>
      </c>
      <c r="P114" s="480">
        <f>VLOOKUP($H114,'Cost Drivers'!$A$2:$R$66,4,FALSE)</f>
        <v>23039.5</v>
      </c>
      <c r="Q114" s="264">
        <f>$N114</f>
        <v>42.231595142929784</v>
      </c>
      <c r="R114" s="187">
        <f>S114*T114</f>
        <v>955532.07170392934</v>
      </c>
      <c r="S114" s="182">
        <f>VLOOKUP($H114,'Cost Drivers'!$A$2:$R$66,6,FALSE)</f>
        <v>22626</v>
      </c>
      <c r="T114" s="264">
        <f>$N114</f>
        <v>42.231595142929784</v>
      </c>
      <c r="U114" s="187">
        <f>V114*W114</f>
        <v>972994.83629553078</v>
      </c>
      <c r="V114" s="182">
        <f>VLOOKUP($H114,'Cost Drivers'!$A$2:$R$66,8,FALSE)</f>
        <v>23039.5</v>
      </c>
      <c r="W114" s="264">
        <f>$N114</f>
        <v>42.231595142929784</v>
      </c>
      <c r="X114" s="187">
        <f>Y114*Z114</f>
        <v>935134.21124989423</v>
      </c>
      <c r="Y114" s="182">
        <f>VLOOKUP($H114,'Cost Drivers'!$A$2:$R$66,10,FALSE)</f>
        <v>22143</v>
      </c>
      <c r="Z114" s="264">
        <f>$N114</f>
        <v>42.231595142929784</v>
      </c>
      <c r="AA114" s="187">
        <f>AB114*AC114</f>
        <v>972994.83629553078</v>
      </c>
      <c r="AB114" s="182">
        <f>VLOOKUP($H114,'Cost Drivers'!$A$2:$R$66,12,FALSE)</f>
        <v>23039.5</v>
      </c>
      <c r="AC114" s="264">
        <f>$N114</f>
        <v>42.231595142929784</v>
      </c>
      <c r="AD114" s="187">
        <f>AE114*AF114</f>
        <v>894338.49034182401</v>
      </c>
      <c r="AE114" s="182">
        <f>VLOOKUP($H114,'Cost Drivers'!$A$2:$R$66,14,FALSE)</f>
        <v>21177</v>
      </c>
      <c r="AF114" s="264">
        <f>$N114</f>
        <v>42.231595142929784</v>
      </c>
      <c r="AG114" s="187">
        <f>AH114*AI114</f>
        <v>972994.83629553078</v>
      </c>
      <c r="AH114" s="182">
        <f>VLOOKUP($H114,'Cost Drivers'!$A$2:$R$66,16,FALSE)</f>
        <v>23039.5</v>
      </c>
      <c r="AI114" s="264">
        <f>$N114</f>
        <v>42.231595142929784</v>
      </c>
      <c r="AJ114" s="187">
        <f>AK114*AL114</f>
        <v>812704.81693054072</v>
      </c>
      <c r="AK114" s="182">
        <f>VLOOKUP($H114,'Cost Drivers'!$A$2:$R$66,18,FALSE)</f>
        <v>19244</v>
      </c>
      <c r="AL114" s="264">
        <f>$N114</f>
        <v>42.231595142929784</v>
      </c>
      <c r="AM114" s="187">
        <f>AN114*AO114</f>
        <v>972994.83629553078</v>
      </c>
      <c r="AN114" s="182">
        <f>VLOOKUP($H114,'Cost Drivers'!$A$3:$V$67,20,FALSE)</f>
        <v>23039.5</v>
      </c>
      <c r="AO114" s="264">
        <f>$N114</f>
        <v>42.231595142929784</v>
      </c>
      <c r="AP114" s="187">
        <f>AQ114*AR114</f>
        <v>975972.16375310731</v>
      </c>
      <c r="AQ114" s="182">
        <f>VLOOKUP($H114,'Cost Drivers'!$A$3:$V$67,22,FALSE)</f>
        <v>23110</v>
      </c>
      <c r="AR114" s="264">
        <f>$N114</f>
        <v>42.231595142929784</v>
      </c>
    </row>
    <row r="115" spans="2:44" outlineLevel="1" x14ac:dyDescent="0.25">
      <c r="B115" s="260" t="s">
        <v>333</v>
      </c>
      <c r="C115" s="261" t="s">
        <v>240</v>
      </c>
      <c r="D115" s="182">
        <f t="shared" si="141"/>
        <v>1000</v>
      </c>
      <c r="E115" s="262" t="s">
        <v>335</v>
      </c>
      <c r="F115" s="262" t="s">
        <v>193</v>
      </c>
      <c r="G115" s="287">
        <v>10432049.976666667</v>
      </c>
      <c r="H115" s="180" t="s">
        <v>304</v>
      </c>
      <c r="I115" s="135">
        <v>0.75</v>
      </c>
      <c r="J115" s="255">
        <f t="shared" si="86"/>
        <v>0.25</v>
      </c>
      <c r="K115" s="263">
        <f>G115*I115</f>
        <v>7824037.4824999999</v>
      </c>
      <c r="L115" s="257">
        <f t="shared" si="87"/>
        <v>2608012.4941666666</v>
      </c>
      <c r="M115" s="462">
        <f>VLOOKUP($H115,'Cost Drivers'!$A$2:$R$66,2,FALSE)</f>
        <v>3962</v>
      </c>
      <c r="N115" s="258">
        <f t="shared" si="88"/>
        <v>658.25656086993104</v>
      </c>
      <c r="O115" s="187">
        <f>P115*Q115</f>
        <v>2585631.7710970892</v>
      </c>
      <c r="P115" s="480">
        <f>VLOOKUP($H115,'Cost Drivers'!$A$2:$R$66,4,FALSE)</f>
        <v>3928</v>
      </c>
      <c r="Q115" s="264">
        <f>$N115</f>
        <v>658.25656086993104</v>
      </c>
      <c r="R115" s="187">
        <f>S115*T115</f>
        <v>2498741.9050622582</v>
      </c>
      <c r="S115" s="182">
        <f>VLOOKUP($H115,'Cost Drivers'!$A$2:$R$66,6,FALSE)</f>
        <v>3796</v>
      </c>
      <c r="T115" s="264">
        <f>$N115</f>
        <v>658.25656086993104</v>
      </c>
      <c r="U115" s="187">
        <f>V115*W115</f>
        <v>2564567.5611492512</v>
      </c>
      <c r="V115" s="182">
        <f>VLOOKUP($H115,'Cost Drivers'!$A$2:$R$66,8,FALSE)</f>
        <v>3896</v>
      </c>
      <c r="W115" s="264">
        <f>$N115</f>
        <v>658.25656086993104</v>
      </c>
      <c r="X115" s="187">
        <f>Y115*Z115</f>
        <v>2388154.8028361099</v>
      </c>
      <c r="Y115" s="182">
        <f>VLOOKUP($H115,'Cost Drivers'!$A$2:$R$66,10,FALSE)</f>
        <v>3628</v>
      </c>
      <c r="Z115" s="264">
        <f>$N115</f>
        <v>658.25656086993104</v>
      </c>
      <c r="AA115" s="187">
        <f>AB115*AC115</f>
        <v>2519806.1150100962</v>
      </c>
      <c r="AB115" s="182">
        <f>VLOOKUP($H115,'Cost Drivers'!$A$2:$R$66,12,FALSE)</f>
        <v>3828</v>
      </c>
      <c r="AC115" s="264">
        <f>$N115</f>
        <v>658.25656086993104</v>
      </c>
      <c r="AD115" s="187">
        <f>AE115*AF115</f>
        <v>2168955.3680664226</v>
      </c>
      <c r="AE115" s="182">
        <f>VLOOKUP($H115,'Cost Drivers'!$A$2:$R$66,14,FALSE)</f>
        <v>3295</v>
      </c>
      <c r="AF115" s="264">
        <f>$N115</f>
        <v>658.25656086993104</v>
      </c>
      <c r="AG115" s="187">
        <f>AH115*AI115</f>
        <v>2432916.2489752653</v>
      </c>
      <c r="AH115" s="182">
        <f>VLOOKUP($H115,'Cost Drivers'!$A$2:$R$66,16,FALSE)</f>
        <v>3696</v>
      </c>
      <c r="AI115" s="264">
        <f>$N115</f>
        <v>658.25656086993104</v>
      </c>
      <c r="AJ115" s="187">
        <f>AK115*AL115</f>
        <v>1729898.2419661789</v>
      </c>
      <c r="AK115" s="182">
        <f>VLOOKUP($H115,'Cost Drivers'!$A$2:$R$66,18,FALSE)</f>
        <v>2628</v>
      </c>
      <c r="AL115" s="264">
        <f>$N115</f>
        <v>658.25656086993104</v>
      </c>
      <c r="AM115" s="187">
        <f>AN115*AO115</f>
        <v>2608012.4941666666</v>
      </c>
      <c r="AN115" s="182">
        <f>VLOOKUP($H115,'Cost Drivers'!$A$3:$V$67,20,FALSE)</f>
        <v>3962</v>
      </c>
      <c r="AO115" s="264">
        <f>$N115</f>
        <v>658.25656086993104</v>
      </c>
      <c r="AP115" s="187">
        <f>AQ115*AR115</f>
        <v>2608012.4941666666</v>
      </c>
      <c r="AQ115" s="182">
        <f>VLOOKUP($H115,'Cost Drivers'!$A$3:$V$67,22,FALSE)</f>
        <v>3962</v>
      </c>
      <c r="AR115" s="264">
        <f>$N115</f>
        <v>658.25656086993104</v>
      </c>
    </row>
    <row r="116" spans="2:44" outlineLevel="1" x14ac:dyDescent="0.25">
      <c r="B116" s="260" t="s">
        <v>333</v>
      </c>
      <c r="C116" s="261" t="s">
        <v>241</v>
      </c>
      <c r="D116" s="182">
        <f t="shared" si="141"/>
        <v>1000</v>
      </c>
      <c r="E116" s="262" t="s">
        <v>335</v>
      </c>
      <c r="F116" s="262" t="s">
        <v>197</v>
      </c>
      <c r="G116" s="287">
        <v>1292441.0166666668</v>
      </c>
      <c r="H116" s="180" t="s">
        <v>308</v>
      </c>
      <c r="I116" s="135">
        <v>0.75</v>
      </c>
      <c r="J116" s="255">
        <f t="shared" si="86"/>
        <v>0.25</v>
      </c>
      <c r="K116" s="263">
        <f>G116*I116</f>
        <v>969330.76250000019</v>
      </c>
      <c r="L116" s="257">
        <f t="shared" si="87"/>
        <v>323110.25416666671</v>
      </c>
      <c r="M116" s="462">
        <f>VLOOKUP($H116,'Cost Drivers'!$A$2:$R$66,2,FALSE)</f>
        <v>7861.666666666667</v>
      </c>
      <c r="N116" s="258">
        <f t="shared" si="88"/>
        <v>41.099459932160272</v>
      </c>
      <c r="O116" s="187">
        <f>P116*Q116</f>
        <v>317657.72581566672</v>
      </c>
      <c r="P116" s="480">
        <f>VLOOKUP($H116,'Cost Drivers'!$A$2:$R$66,4,FALSE)</f>
        <v>7729</v>
      </c>
      <c r="Q116" s="264">
        <f>$N116</f>
        <v>41.099459932160272</v>
      </c>
      <c r="R116" s="187">
        <f>S116*T116</f>
        <v>304177.10295791819</v>
      </c>
      <c r="S116" s="182">
        <f>VLOOKUP($H116,'Cost Drivers'!$A$2:$R$66,6,FALSE)</f>
        <v>7401</v>
      </c>
      <c r="T116" s="264">
        <f>$N116</f>
        <v>41.099459932160272</v>
      </c>
      <c r="U116" s="187">
        <f>V116*W116</f>
        <v>315191.75821973715</v>
      </c>
      <c r="V116" s="182">
        <f>VLOOKUP($H116,'Cost Drivers'!$A$2:$R$66,8,FALSE)</f>
        <v>7669</v>
      </c>
      <c r="W116" s="264">
        <f>$N116</f>
        <v>41.099459932160272</v>
      </c>
      <c r="X116" s="187">
        <f>Y116*Z116</f>
        <v>290203.28658098367</v>
      </c>
      <c r="Y116" s="182">
        <f>VLOOKUP($H116,'Cost Drivers'!$A$2:$R$66,10,FALSE)</f>
        <v>7061</v>
      </c>
      <c r="Z116" s="264">
        <f>$N116</f>
        <v>41.099459932160272</v>
      </c>
      <c r="AA116" s="187">
        <f>AB116*AC116</f>
        <v>310259.82302787789</v>
      </c>
      <c r="AB116" s="182">
        <f>VLOOKUP($H116,'Cost Drivers'!$A$2:$R$66,12,FALSE)</f>
        <v>7549</v>
      </c>
      <c r="AC116" s="264">
        <f>$N116</f>
        <v>41.099459932160272</v>
      </c>
      <c r="AD116" s="187">
        <f>AE116*AF116</f>
        <v>261844.6592277931</v>
      </c>
      <c r="AE116" s="182">
        <f>VLOOKUP($H116,'Cost Drivers'!$A$2:$R$66,14,FALSE)</f>
        <v>6371</v>
      </c>
      <c r="AF116" s="264">
        <f>$N116</f>
        <v>41.099459932160272</v>
      </c>
      <c r="AG116" s="187">
        <f>AH116*AI116</f>
        <v>300560.35048388806</v>
      </c>
      <c r="AH116" s="182">
        <f>VLOOKUP($H116,'Cost Drivers'!$A$2:$R$66,16,FALSE)</f>
        <v>7313</v>
      </c>
      <c r="AI116" s="264">
        <f>$N116</f>
        <v>41.099459932160272</v>
      </c>
      <c r="AJ116" s="187">
        <f>AK116*AL116</f>
        <v>205949.39372005512</v>
      </c>
      <c r="AK116" s="182">
        <f>VLOOKUP($H116,'Cost Drivers'!$A$2:$R$66,18,FALSE)</f>
        <v>5011</v>
      </c>
      <c r="AL116" s="264">
        <f>$N116</f>
        <v>41.099459932160272</v>
      </c>
      <c r="AM116" s="187">
        <f>AN116*AO116</f>
        <v>320123.69341159635</v>
      </c>
      <c r="AN116" s="182">
        <f>VLOOKUP($H116,'Cost Drivers'!$A$3:$V$67,20,FALSE)</f>
        <v>7789</v>
      </c>
      <c r="AO116" s="264">
        <f>$N116</f>
        <v>41.099459932160272</v>
      </c>
      <c r="AP116" s="187">
        <f>AQ116*AR116</f>
        <v>318192.01879478485</v>
      </c>
      <c r="AQ116" s="182">
        <f>VLOOKUP($H116,'Cost Drivers'!$A$3:$V$67,22,FALSE)</f>
        <v>7742</v>
      </c>
      <c r="AR116" s="264">
        <f>$N116</f>
        <v>41.099459932160272</v>
      </c>
    </row>
    <row r="117" spans="2:44" outlineLevel="1" x14ac:dyDescent="0.25">
      <c r="B117" s="260" t="s">
        <v>333</v>
      </c>
      <c r="C117" s="261" t="s">
        <v>232</v>
      </c>
      <c r="D117" s="182">
        <f t="shared" si="141"/>
        <v>1000</v>
      </c>
      <c r="E117" s="262" t="s">
        <v>335</v>
      </c>
      <c r="F117" s="262" t="s">
        <v>233</v>
      </c>
      <c r="G117" s="287">
        <v>8782795.410000002</v>
      </c>
      <c r="H117" s="180" t="s">
        <v>310</v>
      </c>
      <c r="I117" s="135">
        <v>0.75</v>
      </c>
      <c r="J117" s="255">
        <f t="shared" si="86"/>
        <v>0.25</v>
      </c>
      <c r="K117" s="263">
        <f>G117*I117</f>
        <v>6587096.557500001</v>
      </c>
      <c r="L117" s="257">
        <f t="shared" si="87"/>
        <v>2195698.8525000005</v>
      </c>
      <c r="M117" s="462">
        <f>VLOOKUP($H117,'Cost Drivers'!$A$2:$R$66,2,FALSE)</f>
        <v>38876.166666666672</v>
      </c>
      <c r="N117" s="258">
        <f t="shared" si="88"/>
        <v>56.479304436737166</v>
      </c>
      <c r="O117" s="187">
        <f>P117*Q117</f>
        <v>2195689.4392825942</v>
      </c>
      <c r="P117" s="480">
        <f>VLOOKUP($H117,'Cost Drivers'!$A$2:$R$66,4,FALSE)</f>
        <v>38876</v>
      </c>
      <c r="Q117" s="264">
        <f>$N117</f>
        <v>56.479304436737166</v>
      </c>
      <c r="R117" s="187">
        <f>S117*T117</f>
        <v>2195689.4392825942</v>
      </c>
      <c r="S117" s="182">
        <f>VLOOKUP($H117,'Cost Drivers'!$A$2:$R$66,6,FALSE)</f>
        <v>38876</v>
      </c>
      <c r="T117" s="264">
        <f>$N117</f>
        <v>56.479304436737166</v>
      </c>
      <c r="U117" s="187">
        <f>V117*W117</f>
        <v>2195689.4392825942</v>
      </c>
      <c r="V117" s="182">
        <f>VLOOKUP($H117,'Cost Drivers'!$A$2:$R$66,8,FALSE)</f>
        <v>38876</v>
      </c>
      <c r="W117" s="264">
        <f>$N117</f>
        <v>56.479304436737166</v>
      </c>
      <c r="X117" s="187">
        <f>Y117*Z117</f>
        <v>2195689.4392825942</v>
      </c>
      <c r="Y117" s="182">
        <f>VLOOKUP($H117,'Cost Drivers'!$A$2:$R$66,10,FALSE)</f>
        <v>38876</v>
      </c>
      <c r="Z117" s="264">
        <f>$N117</f>
        <v>56.479304436737166</v>
      </c>
      <c r="AA117" s="187">
        <f>AB117*AC117</f>
        <v>2195689.4392825942</v>
      </c>
      <c r="AB117" s="182">
        <f>VLOOKUP($H117,'Cost Drivers'!$A$2:$R$66,12,FALSE)</f>
        <v>38876</v>
      </c>
      <c r="AC117" s="264">
        <f>$N117</f>
        <v>56.479304436737166</v>
      </c>
      <c r="AD117" s="187">
        <f>AE117*AF117</f>
        <v>2195689.4392825942</v>
      </c>
      <c r="AE117" s="182">
        <f>VLOOKUP($H117,'Cost Drivers'!$A$2:$R$66,14,FALSE)</f>
        <v>38876</v>
      </c>
      <c r="AF117" s="264">
        <f>$N117</f>
        <v>56.479304436737166</v>
      </c>
      <c r="AG117" s="187">
        <f>AH117*AI117</f>
        <v>2195689.4392825942</v>
      </c>
      <c r="AH117" s="182">
        <f>VLOOKUP($H117,'Cost Drivers'!$A$2:$R$66,16,FALSE)</f>
        <v>38876</v>
      </c>
      <c r="AI117" s="264">
        <f>$N117</f>
        <v>56.479304436737166</v>
      </c>
      <c r="AJ117" s="187">
        <f>AK117*AL117</f>
        <v>2195689.4392825942</v>
      </c>
      <c r="AK117" s="182">
        <f>VLOOKUP($H117,'Cost Drivers'!$A$2:$R$66,18,FALSE)</f>
        <v>38876</v>
      </c>
      <c r="AL117" s="264">
        <f>$N117</f>
        <v>56.479304436737166</v>
      </c>
      <c r="AM117" s="187">
        <f>AN117*AO117</f>
        <v>2195689.4392825942</v>
      </c>
      <c r="AN117" s="182">
        <f>VLOOKUP($H117,'Cost Drivers'!$A$3:$V$67,20,FALSE)</f>
        <v>38876</v>
      </c>
      <c r="AO117" s="264">
        <f>$N117</f>
        <v>56.479304436737166</v>
      </c>
      <c r="AP117" s="187">
        <f>AQ117*AR117</f>
        <v>2195689.4392825942</v>
      </c>
      <c r="AQ117" s="182">
        <f>VLOOKUP($H117,'Cost Drivers'!$A$3:$V$67,22,FALSE)</f>
        <v>38876</v>
      </c>
      <c r="AR117" s="264">
        <f>$N117</f>
        <v>56.479304436737166</v>
      </c>
    </row>
    <row r="118" spans="2:44" outlineLevel="1" x14ac:dyDescent="0.25">
      <c r="B118" s="250" t="s">
        <v>333</v>
      </c>
      <c r="C118" s="251" t="s">
        <v>242</v>
      </c>
      <c r="D118" s="182">
        <f t="shared" si="141"/>
        <v>2000</v>
      </c>
      <c r="E118" s="252" t="s">
        <v>335</v>
      </c>
      <c r="F118" s="252" t="s">
        <v>237</v>
      </c>
      <c r="G118" s="253">
        <f>SUM(G119:G127)</f>
        <v>33540339.59333333</v>
      </c>
      <c r="H118" s="181" t="s">
        <v>270</v>
      </c>
      <c r="I118" s="254">
        <f>K118/G118</f>
        <v>0.49610209405544248</v>
      </c>
      <c r="J118" s="255">
        <f t="shared" si="86"/>
        <v>0.50389790594455752</v>
      </c>
      <c r="K118" s="256">
        <f>SUMIFS(K$19:K$168, $B$19:$B$168,$B118,$D$19:$D$168,$C118,$F$19:$F$168,"&lt;&gt;"&amp;$F118)</f>
        <v>16639432.707583332</v>
      </c>
      <c r="L118" s="257">
        <f t="shared" si="87"/>
        <v>16900906.885749996</v>
      </c>
      <c r="M118" s="462">
        <f>VLOOKUP($H118,'Cost Drivers'!$A$2:$R$66,2,FALSE)</f>
        <v>27071.666666666668</v>
      </c>
      <c r="N118" s="258">
        <f t="shared" si="88"/>
        <v>624.30241528350655</v>
      </c>
      <c r="O118" s="256">
        <f>SUMIFS(O$19:O$168, $E$19:$E$168,$E118,$C$19:$C$168,"2100")+SUMIFS(O$19:O$168, $E$19:$E$168,$E118,$C$19:$C$168,"2200")+SUMIFS(O$19:O$168, $E$19:$E$168,$E118,$C$19:$C$168,"2300")+SUMIFS(O$19:O$168, $E$19:$E$168,$E118,$C$19:$C$168,"2400")+SUMIFS(O$19:O$168, $E$19:$E$168,$E118,$C$19:$C$168,"2500")+SUMIFS(O$19:O$168, $E$19:$E$168,$E118,$C$19:$C$168,"2600")+SUMIFS(O$19:O$168, $E$19:$E$168,$E118,$C$19:$C$168,"2700")+SUMIFS(O$19:O$168, $E$19:$E$168,$E118,$C$19:$C$168,"2800")+SUMIFS(O$19:O$168, $E$19:$E$168,$E118,$C$19:$C$168,"2900")</f>
        <v>16785773.566606764</v>
      </c>
      <c r="P118" s="480">
        <f>VLOOKUP($H118,'Cost Drivers'!$A$2:$R$66,4,FALSE)</f>
        <v>26877</v>
      </c>
      <c r="Q118" s="264">
        <f>O118/P118</f>
        <v>624.54044598008568</v>
      </c>
      <c r="R118" s="256">
        <f>SUMIFS(R$19:R$168, $E$19:$E$168,$E118,$C$19:$C$168,"2100")+SUMIFS(R$19:R$168, $E$19:$E$168,$E118,$C$19:$C$168,"2200")+SUMIFS(R$19:R$168, $E$19:$E$168,$E118,$C$19:$C$168,"2300")+SUMIFS(R$19:R$168, $E$19:$E$168,$E118,$C$19:$C$168,"2400")+SUMIFS(R$19:R$168, $E$19:$E$168,$E118,$C$19:$C$168,"2500")+SUMIFS(R$19:R$168, $E$19:$E$168,$E118,$C$19:$C$168,"2600")+SUMIFS(R$19:R$168, $E$19:$E$168,$E118,$C$19:$C$168,"2700")+SUMIFS(R$19:R$168, $E$19:$E$168,$E118,$C$19:$C$168,"2800")+SUMIFS(R$19:R$168, $E$19:$E$168,$E118,$C$19:$C$168,"2900")</f>
        <v>16757097.917311583</v>
      </c>
      <c r="S118" s="182">
        <f>VLOOKUP($H118,'Cost Drivers'!$A$2:$R$66,6,FALSE)</f>
        <v>26100</v>
      </c>
      <c r="T118" s="264">
        <f>R118/S118</f>
        <v>642.03440296212966</v>
      </c>
      <c r="U118" s="256">
        <f>SUMIFS(U$19:U$168, $E$19:$E$168,$E118,$C$19:$C$168,"2100")+SUMIFS(U$19:U$168, $E$19:$E$168,$E118,$C$19:$C$168,"2200")+SUMIFS(U$19:U$168, $E$19:$E$168,$E118,$C$19:$C$168,"2300")+SUMIFS(U$19:U$168, $E$19:$E$168,$E118,$C$19:$C$168,"2400")+SUMIFS(U$19:U$168, $E$19:$E$168,$E118,$C$19:$C$168,"2500")+SUMIFS(U$19:U$168, $E$19:$E$168,$E118,$C$19:$C$168,"2600")+SUMIFS(U$19:U$168, $E$19:$E$168,$E118,$C$19:$C$168,"2700")+SUMIFS(U$19:U$168, $E$19:$E$168,$E118,$C$19:$C$168,"2800")+SUMIFS(U$19:U$168, $E$19:$E$168,$E118,$C$19:$C$168,"2900")</f>
        <v>16785704.655553602</v>
      </c>
      <c r="V118" s="182">
        <f>VLOOKUP($H118,'Cost Drivers'!$A$2:$R$66,8,FALSE)</f>
        <v>26683</v>
      </c>
      <c r="W118" s="264">
        <f>U118/V118</f>
        <v>629.07861393222663</v>
      </c>
      <c r="X118" s="256">
        <f>SUMIFS(X$19:X$168, $E$19:$E$168,$E118,$C$19:$C$168,"2100")+SUMIFS(X$19:X$168, $E$19:$E$168,$E118,$C$19:$C$168,"2200")+SUMIFS(X$19:X$168, $E$19:$E$168,$E118,$C$19:$C$168,"2300")+SUMIFS(X$19:X$168, $E$19:$E$168,$E118,$C$19:$C$168,"2400")+SUMIFS(X$19:X$168, $E$19:$E$168,$E118,$C$19:$C$168,"2500")+SUMIFS(X$19:X$168, $E$19:$E$168,$E118,$C$19:$C$168,"2600")+SUMIFS(X$19:X$168, $E$19:$E$168,$E118,$C$19:$C$168,"2700")+SUMIFS(X$19:X$168, $E$19:$E$168,$E118,$C$19:$C$168,"2800")+SUMIFS(X$19:X$168, $E$19:$E$168,$E118,$C$19:$C$168,"2900")</f>
        <v>16628508.87535971</v>
      </c>
      <c r="Y118" s="182">
        <f>VLOOKUP($H118,'Cost Drivers'!$A$2:$R$66,10,FALSE)</f>
        <v>25128</v>
      </c>
      <c r="Z118" s="264">
        <f>X118/Y118</f>
        <v>661.75218383316258</v>
      </c>
      <c r="AA118" s="256">
        <f>SUMIFS(AA$19:AA$168, $E$19:$E$168,$E118,$C$19:$C$168,"2100")+SUMIFS(AA$19:AA$168, $E$19:$E$168,$E118,$C$19:$C$168,"2200")+SUMIFS(AA$19:AA$168, $E$19:$E$168,$E118,$C$19:$C$168,"2300")+SUMIFS(AA$19:AA$168, $E$19:$E$168,$E118,$C$19:$C$168,"2400")+SUMIFS(AA$19:AA$168, $E$19:$E$168,$E118,$C$19:$C$168,"2500")+SUMIFS(AA$19:AA$168, $E$19:$E$168,$E118,$C$19:$C$168,"2600")+SUMIFS(AA$19:AA$168, $E$19:$E$168,$E118,$C$19:$C$168,"2700")+SUMIFS(AA$19:AA$168, $E$19:$E$168,$E118,$C$19:$C$168,"2800")+SUMIFS(AA$19:AA$168, $E$19:$E$168,$E118,$C$19:$C$168,"2900")</f>
        <v>16785566.478235666</v>
      </c>
      <c r="AB118" s="182">
        <f>VLOOKUP($H118,'Cost Drivers'!$A$2:$R$66,12,FALSE)</f>
        <v>26294</v>
      </c>
      <c r="AC118" s="264">
        <f>AA118/AB118</f>
        <v>638.3801048998123</v>
      </c>
      <c r="AD118" s="256">
        <f>SUMIFS(AD$19:AD$168, $E$19:$E$168,$E118,$C$19:$C$168,"2100")+SUMIFS(AD$19:AD$168, $E$19:$E$168,$E118,$C$19:$C$168,"2200")+SUMIFS(AD$19:AD$168, $E$19:$E$168,$E118,$C$19:$C$168,"2300")+SUMIFS(AD$19:AD$168, $E$19:$E$168,$E118,$C$19:$C$168,"2400")+SUMIFS(AD$19:AD$168, $E$19:$E$168,$E118,$C$19:$C$168,"2500")+SUMIFS(AD$19:AD$168, $E$19:$E$168,$E118,$C$19:$C$168,"2600")+SUMIFS(AD$19:AD$168, $E$19:$E$168,$E118,$C$19:$C$168,"2700")+SUMIFS(AD$19:AD$168, $E$19:$E$168,$E118,$C$19:$C$168,"2800")+SUMIFS(AD$19:AD$168, $E$19:$E$168,$E118,$C$19:$C$168,"2900")</f>
        <v>16414080.301760079</v>
      </c>
      <c r="AE118" s="182">
        <f>VLOOKUP($H118,'Cost Drivers'!$A$2:$R$66,14,FALSE)</f>
        <v>23184</v>
      </c>
      <c r="AF118" s="264">
        <f>AD118/AE118</f>
        <v>707.9917314423775</v>
      </c>
      <c r="AG118" s="256">
        <f>SUMIFS(AG$19:AG$168, $E$19:$E$168,$E118,$C$19:$C$168,"2100")+SUMIFS(AG$19:AG$168, $E$19:$E$168,$E118,$C$19:$C$168,"2200")+SUMIFS(AG$19:AG$168, $E$19:$E$168,$E118,$C$19:$C$168,"2300")+SUMIFS(AG$19:AG$168, $E$19:$E$168,$E118,$C$19:$C$168,"2400")+SUMIFS(AG$19:AG$168, $E$19:$E$168,$E118,$C$19:$C$168,"2500")+SUMIFS(AG$19:AG$168, $E$19:$E$168,$E118,$C$19:$C$168,"2600")+SUMIFS(AG$19:AG$168, $E$19:$E$168,$E118,$C$19:$C$168,"2700")+SUMIFS(AG$19:AG$168, $E$19:$E$168,$E118,$C$19:$C$168,"2800")+SUMIFS(AG$19:AG$168, $E$19:$E$168,$E118,$C$19:$C$168,"2900")</f>
        <v>16785290.478811406</v>
      </c>
      <c r="AH118" s="182">
        <f>VLOOKUP($H118,'Cost Drivers'!$A$2:$R$66,16,FALSE)</f>
        <v>25517</v>
      </c>
      <c r="AI118" s="264">
        <f>AG118/AH118</f>
        <v>657.80814667913182</v>
      </c>
      <c r="AJ118" s="256">
        <f>SUMIFS(AJ$19:AJ$168, $E$19:$E$168,$E118,$C$19:$C$168,"2100")+SUMIFS(AJ$19:AJ$168, $E$19:$E$168,$E118,$C$19:$C$168,"2200")+SUMIFS(AJ$19:AJ$168, $E$19:$E$168,$E118,$C$19:$C$168,"2300")+SUMIFS(AJ$19:AJ$168, $E$19:$E$168,$E118,$C$19:$C$168,"2400")+SUMIFS(AJ$19:AJ$168, $E$19:$E$168,$E118,$C$19:$C$168,"2500")+SUMIFS(AJ$19:AJ$168, $E$19:$E$168,$E118,$C$19:$C$168,"2600")+SUMIFS(AJ$19:AJ$168, $E$19:$E$168,$E118,$C$19:$C$168,"2700")+SUMIFS(AJ$19:AJ$168, $E$19:$E$168,$E118,$C$19:$C$168,"2800")+SUMIFS(AJ$19:AJ$168, $E$19:$E$168,$E118,$C$19:$C$168,"2900")</f>
        <v>15851284.981207676</v>
      </c>
      <c r="AK118" s="182">
        <f>VLOOKUP($H118,'Cost Drivers'!$A$2:$R$66,18,FALSE)</f>
        <v>19296</v>
      </c>
      <c r="AL118" s="264">
        <f>AJ118/AK118</f>
        <v>821.48035764965152</v>
      </c>
      <c r="AM118" s="256">
        <f>SUMIFS(AM$19:AM$168, $E$19:$E$168,$E118,$C$19:$C$168,"2100")+SUMIFS(AM$19:AM$168, $E$19:$E$168,$E118,$C$19:$C$168,"2200")+SUMIFS(AM$19:AM$168, $E$19:$E$168,$E118,$C$19:$C$168,"2300")+SUMIFS(AM$19:AM$168, $E$19:$E$168,$E118,$C$19:$C$168,"2400")+SUMIFS(AM$19:AM$168, $E$19:$E$168,$E118,$C$19:$C$168,"2500")+SUMIFS(AM$19:AM$168, $E$19:$E$168,$E118,$C$19:$C$168,"2600")+SUMIFS(AM$19:AM$168, $E$19:$E$168,$E118,$C$19:$C$168,"2700")+SUMIFS(AM$19:AM$168, $E$19:$E$168,$E118,$C$19:$C$168,"2800")+SUMIFS(AM$19:AM$168, $E$19:$E$168,$E118,$C$19:$C$168,"2900")</f>
        <v>16767168.783030502</v>
      </c>
      <c r="AN118" s="182">
        <f>VLOOKUP($H118,'Cost Drivers'!$A$3:$V$67,20,FALSE)</f>
        <v>27072</v>
      </c>
      <c r="AO118" s="264">
        <f>AM118/AN118</f>
        <v>619.35463885307706</v>
      </c>
      <c r="AP118" s="256">
        <f>SUMIFS(AP$19:AP$168, $E$19:$E$168,$E118,$C$19:$C$168,"2100")+SUMIFS(AP$19:AP$168, $E$19:$E$168,$E118,$C$19:$C$168,"2200")+SUMIFS(AP$19:AP$168, $E$19:$E$168,$E118,$C$19:$C$168,"2300")+SUMIFS(AP$19:AP$168, $E$19:$E$168,$E118,$C$19:$C$168,"2400")+SUMIFS(AP$19:AP$168, $E$19:$E$168,$E118,$C$19:$C$168,"2500")+SUMIFS(AP$19:AP$168, $E$19:$E$168,$E118,$C$19:$C$168,"2600")+SUMIFS(AP$19:AP$168, $E$19:$E$168,$E118,$C$19:$C$168,"2700")+SUMIFS(AP$19:AP$168, $E$19:$E$168,$E118,$C$19:$C$168,"2800")+SUMIFS(AP$19:AP$168, $E$19:$E$168,$E118,$C$19:$C$168,"2900")</f>
        <v>16867532.028577238</v>
      </c>
      <c r="AQ118" s="182">
        <f>VLOOKUP($H118,'Cost Drivers'!$A$3:$V$67,22,FALSE)</f>
        <v>27072</v>
      </c>
      <c r="AR118" s="264">
        <f>AP118/AQ118</f>
        <v>623.0619100390528</v>
      </c>
    </row>
    <row r="119" spans="2:44" outlineLevel="1" x14ac:dyDescent="0.25">
      <c r="B119" s="260" t="s">
        <v>333</v>
      </c>
      <c r="C119" s="261" t="s">
        <v>243</v>
      </c>
      <c r="D119" s="182">
        <f t="shared" si="141"/>
        <v>2000</v>
      </c>
      <c r="E119" s="262" t="s">
        <v>335</v>
      </c>
      <c r="F119" s="262" t="s">
        <v>198</v>
      </c>
      <c r="G119" s="287">
        <v>228560.66666666666</v>
      </c>
      <c r="H119" s="180" t="s">
        <v>532</v>
      </c>
      <c r="I119" s="150">
        <v>0.75</v>
      </c>
      <c r="J119" s="255">
        <f t="shared" si="86"/>
        <v>0.25</v>
      </c>
      <c r="K119" s="263">
        <f t="shared" ref="K119:K127" si="184">G119*I119</f>
        <v>171420.5</v>
      </c>
      <c r="L119" s="257">
        <f t="shared" si="87"/>
        <v>57140.166666666664</v>
      </c>
      <c r="M119" s="462">
        <f>VLOOKUP($H119,'Cost Drivers'!$A$2:$R$66,2,FALSE)</f>
        <v>27646.333333333332</v>
      </c>
      <c r="N119" s="258">
        <f t="shared" si="88"/>
        <v>2.0668262216809943</v>
      </c>
      <c r="O119" s="187">
        <f t="shared" ref="O119:O127" si="185">P119*Q119</f>
        <v>55780.539483837514</v>
      </c>
      <c r="P119" s="480">
        <f>VLOOKUP($H119,'Cost Drivers'!$A$2:$R$66,4,FALSE)</f>
        <v>26988.5</v>
      </c>
      <c r="Q119" s="264">
        <f t="shared" ref="Q119:Q127" si="186">N119</f>
        <v>2.0668262216809943</v>
      </c>
      <c r="R119" s="187">
        <f t="shared" ref="R119:R127" si="187">S119*T119</f>
        <v>54746.092959886177</v>
      </c>
      <c r="S119" s="182">
        <f>VLOOKUP($H119,'Cost Drivers'!$A$2:$R$66,6,FALSE)</f>
        <v>26488</v>
      </c>
      <c r="T119" s="264">
        <f t="shared" ref="T119:T127" si="188">Q119</f>
        <v>2.0668262216809943</v>
      </c>
      <c r="U119" s="187">
        <f t="shared" ref="U119:U127" si="189">V119*W119</f>
        <v>55780.539483837514</v>
      </c>
      <c r="V119" s="182">
        <f>VLOOKUP($H119,'Cost Drivers'!$A$2:$R$66,8,FALSE)</f>
        <v>26988.5</v>
      </c>
      <c r="W119" s="264">
        <f t="shared" ref="W119:W127" si="190">T119</f>
        <v>2.0668262216809943</v>
      </c>
      <c r="X119" s="187">
        <f t="shared" ref="X119:X127" si="191">Y119*Z119</f>
        <v>53541.133272646155</v>
      </c>
      <c r="Y119" s="182">
        <f>VLOOKUP($H119,'Cost Drivers'!$A$2:$R$66,10,FALSE)</f>
        <v>25905</v>
      </c>
      <c r="Z119" s="264">
        <f t="shared" ref="Z119:Z127" si="192">W119</f>
        <v>2.0668262216809943</v>
      </c>
      <c r="AA119" s="187">
        <f t="shared" ref="AA119:AA127" si="193">AB119*AC119</f>
        <v>55780.539483837514</v>
      </c>
      <c r="AB119" s="182">
        <f>VLOOKUP($H119,'Cost Drivers'!$A$2:$R$66,12,FALSE)</f>
        <v>26988.5</v>
      </c>
      <c r="AC119" s="264">
        <f t="shared" ref="AC119:AC127" si="194">Z119</f>
        <v>2.0668262216809943</v>
      </c>
      <c r="AD119" s="187">
        <f t="shared" ref="AD119:AD127" si="195">AE119*AF119</f>
        <v>51131.213898166119</v>
      </c>
      <c r="AE119" s="182">
        <f>VLOOKUP($H119,'Cost Drivers'!$A$2:$R$66,14,FALSE)</f>
        <v>24739</v>
      </c>
      <c r="AF119" s="264">
        <f t="shared" ref="AF119:AF127" si="196">AC119</f>
        <v>2.0668262216809943</v>
      </c>
      <c r="AG119" s="187">
        <f t="shared" ref="AG119:AG127" si="197">AH119*AI119</f>
        <v>55780.539483837514</v>
      </c>
      <c r="AH119" s="182">
        <f>VLOOKUP($H119,'Cost Drivers'!$A$2:$R$66,16,FALSE)</f>
        <v>26988.5</v>
      </c>
      <c r="AI119" s="264">
        <f t="shared" ref="AI119:AI127" si="198">AF119</f>
        <v>2.0668262216809943</v>
      </c>
      <c r="AJ119" s="187">
        <f t="shared" ref="AJ119:AJ127" si="199">AK119*AL119</f>
        <v>46309.308322984361</v>
      </c>
      <c r="AK119" s="182">
        <f>VLOOKUP($H119,'Cost Drivers'!$A$2:$R$66,18,FALSE)</f>
        <v>22406</v>
      </c>
      <c r="AL119" s="264">
        <f t="shared" ref="AL119:AL127" si="200">AI119</f>
        <v>2.0668262216809943</v>
      </c>
      <c r="AM119" s="187">
        <f t="shared" ref="AM119:AM127" si="201">AN119*AO119</f>
        <v>55780.539483837514</v>
      </c>
      <c r="AN119" s="182">
        <f>VLOOKUP($H119,'Cost Drivers'!$A$3:$V$67,20,FALSE)</f>
        <v>26988.5</v>
      </c>
      <c r="AO119" s="264">
        <f t="shared" ref="AO119:AO127" si="202">AL119</f>
        <v>2.0668262216809943</v>
      </c>
      <c r="AP119" s="187">
        <f t="shared" ref="AP119:AP127" si="203">AQ119*AR119</f>
        <v>55953.119473347877</v>
      </c>
      <c r="AQ119" s="182">
        <f>VLOOKUP($H119,'Cost Drivers'!$A$3:$V$67,22,FALSE)</f>
        <v>27072</v>
      </c>
      <c r="AR119" s="264">
        <f t="shared" ref="AR119:AR127" si="204">AO119</f>
        <v>2.0668262216809943</v>
      </c>
    </row>
    <row r="120" spans="2:44" outlineLevel="1" x14ac:dyDescent="0.25">
      <c r="B120" s="260" t="s">
        <v>333</v>
      </c>
      <c r="C120" s="261" t="s">
        <v>244</v>
      </c>
      <c r="D120" s="182">
        <f t="shared" si="141"/>
        <v>2000</v>
      </c>
      <c r="E120" s="262" t="s">
        <v>335</v>
      </c>
      <c r="F120" s="262" t="s">
        <v>199</v>
      </c>
      <c r="G120" s="287">
        <v>3049633.2333333339</v>
      </c>
      <c r="H120" s="180" t="s">
        <v>326</v>
      </c>
      <c r="I120" s="150">
        <v>0.75</v>
      </c>
      <c r="J120" s="255">
        <f t="shared" si="86"/>
        <v>0.25</v>
      </c>
      <c r="K120" s="263">
        <f t="shared" si="184"/>
        <v>2287224.9250000003</v>
      </c>
      <c r="L120" s="257">
        <f t="shared" si="87"/>
        <v>762408.30833333347</v>
      </c>
      <c r="M120" s="462">
        <f>VLOOKUP($H120,'Cost Drivers'!$A$2:$R$66,2,FALSE)</f>
        <v>1474.5283333333336</v>
      </c>
      <c r="N120" s="258">
        <f t="shared" si="88"/>
        <v>517.05232859773241</v>
      </c>
      <c r="O120" s="187">
        <f t="shared" si="185"/>
        <v>747140.61482372333</v>
      </c>
      <c r="P120" s="480">
        <f>VLOOKUP($H120,'Cost Drivers'!$A$2:$R$66,4,FALSE)</f>
        <v>1445</v>
      </c>
      <c r="Q120" s="264">
        <f t="shared" si="186"/>
        <v>517.05232859773241</v>
      </c>
      <c r="R120" s="187">
        <f t="shared" si="187"/>
        <v>731111.99263719365</v>
      </c>
      <c r="S120" s="182">
        <f>VLOOKUP($H120,'Cost Drivers'!$A$2:$R$66,6,FALSE)</f>
        <v>1414</v>
      </c>
      <c r="T120" s="264">
        <f t="shared" si="188"/>
        <v>517.05232859773241</v>
      </c>
      <c r="U120" s="187">
        <f t="shared" si="189"/>
        <v>747140.61482372333</v>
      </c>
      <c r="V120" s="182">
        <f>VLOOKUP($H120,'Cost Drivers'!$A$2:$R$66,8,FALSE)</f>
        <v>1445</v>
      </c>
      <c r="W120" s="264">
        <f t="shared" si="190"/>
        <v>517.05232859773241</v>
      </c>
      <c r="X120" s="187">
        <f t="shared" si="191"/>
        <v>716117.47510785935</v>
      </c>
      <c r="Y120" s="182">
        <f>VLOOKUP($H120,'Cost Drivers'!$A$2:$R$66,10,FALSE)</f>
        <v>1385</v>
      </c>
      <c r="Z120" s="264">
        <f t="shared" si="192"/>
        <v>517.05232859773241</v>
      </c>
      <c r="AA120" s="187">
        <f t="shared" si="193"/>
        <v>747140.61482372333</v>
      </c>
      <c r="AB120" s="182">
        <f>VLOOKUP($H120,'Cost Drivers'!$A$2:$R$66,12,FALSE)</f>
        <v>1445</v>
      </c>
      <c r="AC120" s="264">
        <f t="shared" si="194"/>
        <v>517.05232859773241</v>
      </c>
      <c r="AD120" s="187">
        <f t="shared" si="195"/>
        <v>684060.23073479999</v>
      </c>
      <c r="AE120" s="182">
        <f>VLOOKUP($H120,'Cost Drivers'!$A$2:$R$66,14,FALSE)</f>
        <v>1323</v>
      </c>
      <c r="AF120" s="264">
        <f t="shared" si="196"/>
        <v>517.05232859773241</v>
      </c>
      <c r="AG120" s="187">
        <f t="shared" si="197"/>
        <v>747140.61482372333</v>
      </c>
      <c r="AH120" s="182">
        <f>VLOOKUP($H120,'Cost Drivers'!$A$2:$R$66,16,FALSE)</f>
        <v>1445</v>
      </c>
      <c r="AI120" s="264">
        <f t="shared" si="198"/>
        <v>517.05232859773241</v>
      </c>
      <c r="AJ120" s="187">
        <f t="shared" si="199"/>
        <v>620462.79431727889</v>
      </c>
      <c r="AK120" s="182">
        <f>VLOOKUP($H120,'Cost Drivers'!$A$2:$R$66,18,FALSE)</f>
        <v>1200</v>
      </c>
      <c r="AL120" s="264">
        <f t="shared" si="200"/>
        <v>517.05232859773241</v>
      </c>
      <c r="AM120" s="187">
        <f t="shared" si="201"/>
        <v>747140.61482372333</v>
      </c>
      <c r="AN120" s="182">
        <f>VLOOKUP($H120,'Cost Drivers'!$A$3:$V$67,20,FALSE)</f>
        <v>1445</v>
      </c>
      <c r="AO120" s="264">
        <f t="shared" si="202"/>
        <v>517.05232859773241</v>
      </c>
      <c r="AP120" s="187">
        <f t="shared" si="203"/>
        <v>746623.56249512557</v>
      </c>
      <c r="AQ120" s="182">
        <f>VLOOKUP($H120,'Cost Drivers'!$A$3:$V$67,22,FALSE)</f>
        <v>1444</v>
      </c>
      <c r="AR120" s="264">
        <f t="shared" si="204"/>
        <v>517.05232859773241</v>
      </c>
    </row>
    <row r="121" spans="2:44" outlineLevel="1" x14ac:dyDescent="0.25">
      <c r="B121" s="260" t="s">
        <v>333</v>
      </c>
      <c r="C121" s="261" t="s">
        <v>245</v>
      </c>
      <c r="D121" s="182">
        <f t="shared" si="141"/>
        <v>2000</v>
      </c>
      <c r="E121" s="262" t="s">
        <v>335</v>
      </c>
      <c r="F121" s="262" t="s">
        <v>200</v>
      </c>
      <c r="G121" s="287">
        <v>1980341.9433333334</v>
      </c>
      <c r="H121" s="180" t="s">
        <v>310</v>
      </c>
      <c r="I121" s="150">
        <v>0.75</v>
      </c>
      <c r="J121" s="255">
        <f t="shared" si="86"/>
        <v>0.25</v>
      </c>
      <c r="K121" s="263">
        <f t="shared" si="184"/>
        <v>1485256.4575</v>
      </c>
      <c r="L121" s="257">
        <f t="shared" si="87"/>
        <v>495085.48583333334</v>
      </c>
      <c r="M121" s="462">
        <f>VLOOKUP($H121,'Cost Drivers'!$A$2:$R$66,2,FALSE)</f>
        <v>38876.166666666672</v>
      </c>
      <c r="N121" s="258">
        <f t="shared" si="88"/>
        <v>12.734935778990554</v>
      </c>
      <c r="O121" s="187">
        <f t="shared" si="185"/>
        <v>495083.3633440368</v>
      </c>
      <c r="P121" s="480">
        <f>VLOOKUP($H121,'Cost Drivers'!$A$2:$R$66,4,FALSE)</f>
        <v>38876</v>
      </c>
      <c r="Q121" s="264">
        <f t="shared" si="186"/>
        <v>12.734935778990554</v>
      </c>
      <c r="R121" s="187">
        <f t="shared" si="187"/>
        <v>495083.3633440368</v>
      </c>
      <c r="S121" s="182">
        <f>VLOOKUP($H121,'Cost Drivers'!$A$2:$R$66,6,FALSE)</f>
        <v>38876</v>
      </c>
      <c r="T121" s="264">
        <f t="shared" si="188"/>
        <v>12.734935778990554</v>
      </c>
      <c r="U121" s="187">
        <f t="shared" si="189"/>
        <v>495083.3633440368</v>
      </c>
      <c r="V121" s="182">
        <f>VLOOKUP($H121,'Cost Drivers'!$A$2:$R$66,8,FALSE)</f>
        <v>38876</v>
      </c>
      <c r="W121" s="264">
        <f t="shared" si="190"/>
        <v>12.734935778990554</v>
      </c>
      <c r="X121" s="187">
        <f t="shared" si="191"/>
        <v>495083.3633440368</v>
      </c>
      <c r="Y121" s="182">
        <f>VLOOKUP($H121,'Cost Drivers'!$A$2:$R$66,10,FALSE)</f>
        <v>38876</v>
      </c>
      <c r="Z121" s="264">
        <f t="shared" si="192"/>
        <v>12.734935778990554</v>
      </c>
      <c r="AA121" s="187">
        <f t="shared" si="193"/>
        <v>495083.3633440368</v>
      </c>
      <c r="AB121" s="182">
        <f>VLOOKUP($H121,'Cost Drivers'!$A$2:$R$66,12,FALSE)</f>
        <v>38876</v>
      </c>
      <c r="AC121" s="264">
        <f t="shared" si="194"/>
        <v>12.734935778990554</v>
      </c>
      <c r="AD121" s="187">
        <f t="shared" si="195"/>
        <v>495083.3633440368</v>
      </c>
      <c r="AE121" s="182">
        <f>VLOOKUP($H121,'Cost Drivers'!$A$2:$R$66,14,FALSE)</f>
        <v>38876</v>
      </c>
      <c r="AF121" s="264">
        <f t="shared" si="196"/>
        <v>12.734935778990554</v>
      </c>
      <c r="AG121" s="187">
        <f t="shared" si="197"/>
        <v>495083.3633440368</v>
      </c>
      <c r="AH121" s="182">
        <f>VLOOKUP($H121,'Cost Drivers'!$A$2:$R$66,16,FALSE)</f>
        <v>38876</v>
      </c>
      <c r="AI121" s="264">
        <f t="shared" si="198"/>
        <v>12.734935778990554</v>
      </c>
      <c r="AJ121" s="187">
        <f t="shared" si="199"/>
        <v>495083.3633440368</v>
      </c>
      <c r="AK121" s="182">
        <f>VLOOKUP($H121,'Cost Drivers'!$A$2:$R$66,18,FALSE)</f>
        <v>38876</v>
      </c>
      <c r="AL121" s="264">
        <f t="shared" si="200"/>
        <v>12.734935778990554</v>
      </c>
      <c r="AM121" s="187">
        <f t="shared" si="201"/>
        <v>495083.3633440368</v>
      </c>
      <c r="AN121" s="182">
        <f>VLOOKUP($H121,'Cost Drivers'!$A$3:$V$67,20,FALSE)</f>
        <v>38876</v>
      </c>
      <c r="AO121" s="264">
        <f t="shared" si="202"/>
        <v>12.734935778990554</v>
      </c>
      <c r="AP121" s="187">
        <f t="shared" si="203"/>
        <v>495083.3633440368</v>
      </c>
      <c r="AQ121" s="182">
        <f>VLOOKUP($H121,'Cost Drivers'!$A$3:$V$67,22,FALSE)</f>
        <v>38876</v>
      </c>
      <c r="AR121" s="264">
        <f t="shared" si="204"/>
        <v>12.734935778990554</v>
      </c>
    </row>
    <row r="122" spans="2:44" outlineLevel="1" x14ac:dyDescent="0.25">
      <c r="B122" s="260" t="s">
        <v>333</v>
      </c>
      <c r="C122" s="261" t="s">
        <v>246</v>
      </c>
      <c r="D122" s="182">
        <f t="shared" si="141"/>
        <v>2000</v>
      </c>
      <c r="E122" s="262" t="s">
        <v>335</v>
      </c>
      <c r="F122" s="262" t="s">
        <v>201</v>
      </c>
      <c r="G122" s="287">
        <v>38464.681666666671</v>
      </c>
      <c r="H122" s="180" t="s">
        <v>312</v>
      </c>
      <c r="I122" s="150">
        <v>0.75</v>
      </c>
      <c r="J122" s="255">
        <f t="shared" si="86"/>
        <v>0.25</v>
      </c>
      <c r="K122" s="263">
        <f t="shared" si="184"/>
        <v>28848.511250000003</v>
      </c>
      <c r="L122" s="257">
        <f t="shared" si="87"/>
        <v>9616.1704166666677</v>
      </c>
      <c r="M122" s="462">
        <f>VLOOKUP($H122,'Cost Drivers'!$A$2:$R$66,2,FALSE)</f>
        <v>27071.666666666668</v>
      </c>
      <c r="N122" s="258">
        <f t="shared" si="88"/>
        <v>0.3552116142338238</v>
      </c>
      <c r="O122" s="187">
        <f t="shared" si="185"/>
        <v>9547.0225557624817</v>
      </c>
      <c r="P122" s="480">
        <f>VLOOKUP($H122,'Cost Drivers'!$A$2:$R$66,4,FALSE)</f>
        <v>26877</v>
      </c>
      <c r="Q122" s="264">
        <f t="shared" si="186"/>
        <v>0.3552116142338238</v>
      </c>
      <c r="R122" s="187">
        <f t="shared" si="187"/>
        <v>9271.0231315028013</v>
      </c>
      <c r="S122" s="182">
        <f>VLOOKUP($H122,'Cost Drivers'!$A$2:$R$66,6,FALSE)</f>
        <v>26100</v>
      </c>
      <c r="T122" s="264">
        <f t="shared" si="188"/>
        <v>0.3552116142338238</v>
      </c>
      <c r="U122" s="187">
        <f t="shared" si="189"/>
        <v>9478.1115026011212</v>
      </c>
      <c r="V122" s="182">
        <f>VLOOKUP($H122,'Cost Drivers'!$A$2:$R$66,8,FALSE)</f>
        <v>26683</v>
      </c>
      <c r="W122" s="264">
        <f t="shared" si="190"/>
        <v>0.3552116142338238</v>
      </c>
      <c r="X122" s="187">
        <f t="shared" si="191"/>
        <v>8925.757442467524</v>
      </c>
      <c r="Y122" s="182">
        <f>VLOOKUP($H122,'Cost Drivers'!$A$2:$R$66,10,FALSE)</f>
        <v>25128</v>
      </c>
      <c r="Z122" s="264">
        <f t="shared" si="192"/>
        <v>0.3552116142338238</v>
      </c>
      <c r="AA122" s="187">
        <f t="shared" si="193"/>
        <v>9339.9341846641637</v>
      </c>
      <c r="AB122" s="182">
        <f>VLOOKUP($H122,'Cost Drivers'!$A$2:$R$66,12,FALSE)</f>
        <v>26294</v>
      </c>
      <c r="AC122" s="264">
        <f t="shared" si="194"/>
        <v>0.3552116142338238</v>
      </c>
      <c r="AD122" s="187">
        <f t="shared" si="195"/>
        <v>8235.2260643969712</v>
      </c>
      <c r="AE122" s="182">
        <f>VLOOKUP($H122,'Cost Drivers'!$A$2:$R$66,14,FALSE)</f>
        <v>23184</v>
      </c>
      <c r="AF122" s="264">
        <f t="shared" si="196"/>
        <v>0.3552116142338238</v>
      </c>
      <c r="AG122" s="187">
        <f t="shared" si="197"/>
        <v>9063.9347604044815</v>
      </c>
      <c r="AH122" s="182">
        <f>VLOOKUP($H122,'Cost Drivers'!$A$2:$R$66,16,FALSE)</f>
        <v>25517</v>
      </c>
      <c r="AI122" s="264">
        <f t="shared" si="198"/>
        <v>0.3552116142338238</v>
      </c>
      <c r="AJ122" s="187">
        <f t="shared" si="199"/>
        <v>6854.1633082558637</v>
      </c>
      <c r="AK122" s="182">
        <f>VLOOKUP($H122,'Cost Drivers'!$A$2:$R$66,18,FALSE)</f>
        <v>19296</v>
      </c>
      <c r="AL122" s="264">
        <f t="shared" si="200"/>
        <v>0.3552116142338238</v>
      </c>
      <c r="AM122" s="187">
        <f t="shared" si="201"/>
        <v>9616.2888205380787</v>
      </c>
      <c r="AN122" s="182">
        <f>VLOOKUP($H122,'Cost Drivers'!$A$3:$V$67,20,FALSE)</f>
        <v>27072</v>
      </c>
      <c r="AO122" s="264">
        <f t="shared" si="202"/>
        <v>0.3552116142338238</v>
      </c>
      <c r="AP122" s="187">
        <f t="shared" si="203"/>
        <v>9616.2888205380787</v>
      </c>
      <c r="AQ122" s="182">
        <f>VLOOKUP($H122,'Cost Drivers'!$A$3:$V$67,22,FALSE)</f>
        <v>27072</v>
      </c>
      <c r="AR122" s="264">
        <f t="shared" si="204"/>
        <v>0.3552116142338238</v>
      </c>
    </row>
    <row r="123" spans="2:44" outlineLevel="1" x14ac:dyDescent="0.25">
      <c r="B123" s="260" t="s">
        <v>333</v>
      </c>
      <c r="C123" s="261" t="s">
        <v>247</v>
      </c>
      <c r="D123" s="182">
        <f t="shared" si="141"/>
        <v>2000</v>
      </c>
      <c r="E123" s="262" t="s">
        <v>335</v>
      </c>
      <c r="F123" s="262" t="s">
        <v>202</v>
      </c>
      <c r="G123" s="287">
        <v>662746.61166666669</v>
      </c>
      <c r="H123" s="180" t="s">
        <v>310</v>
      </c>
      <c r="I123" s="135">
        <v>0.75</v>
      </c>
      <c r="J123" s="255">
        <f t="shared" si="86"/>
        <v>0.25</v>
      </c>
      <c r="K123" s="263">
        <f t="shared" si="184"/>
        <v>497059.95874999999</v>
      </c>
      <c r="L123" s="257">
        <f t="shared" si="87"/>
        <v>165686.65291666667</v>
      </c>
      <c r="M123" s="462">
        <f>VLOOKUP($H123,'Cost Drivers'!$A$2:$R$66,2,FALSE)</f>
        <v>38876.166666666672</v>
      </c>
      <c r="N123" s="258">
        <f t="shared" si="88"/>
        <v>4.2619081849633664</v>
      </c>
      <c r="O123" s="187">
        <f t="shared" si="185"/>
        <v>165685.94259863583</v>
      </c>
      <c r="P123" s="480">
        <f>VLOOKUP($H123,'Cost Drivers'!$A$2:$R$66,4,FALSE)</f>
        <v>38876</v>
      </c>
      <c r="Q123" s="264">
        <f t="shared" si="186"/>
        <v>4.2619081849633664</v>
      </c>
      <c r="R123" s="187">
        <f t="shared" si="187"/>
        <v>165685.94259863583</v>
      </c>
      <c r="S123" s="182">
        <f>VLOOKUP($H123,'Cost Drivers'!$A$2:$R$66,6,FALSE)</f>
        <v>38876</v>
      </c>
      <c r="T123" s="264">
        <f t="shared" si="188"/>
        <v>4.2619081849633664</v>
      </c>
      <c r="U123" s="187">
        <f t="shared" si="189"/>
        <v>165685.94259863583</v>
      </c>
      <c r="V123" s="182">
        <f>VLOOKUP($H123,'Cost Drivers'!$A$2:$R$66,8,FALSE)</f>
        <v>38876</v>
      </c>
      <c r="W123" s="264">
        <f t="shared" si="190"/>
        <v>4.2619081849633664</v>
      </c>
      <c r="X123" s="187">
        <f t="shared" si="191"/>
        <v>165685.94259863583</v>
      </c>
      <c r="Y123" s="182">
        <f>VLOOKUP($H123,'Cost Drivers'!$A$2:$R$66,10,FALSE)</f>
        <v>38876</v>
      </c>
      <c r="Z123" s="264">
        <f t="shared" si="192"/>
        <v>4.2619081849633664</v>
      </c>
      <c r="AA123" s="187">
        <f t="shared" si="193"/>
        <v>165685.94259863583</v>
      </c>
      <c r="AB123" s="182">
        <f>VLOOKUP($H123,'Cost Drivers'!$A$2:$R$66,12,FALSE)</f>
        <v>38876</v>
      </c>
      <c r="AC123" s="264">
        <f t="shared" si="194"/>
        <v>4.2619081849633664</v>
      </c>
      <c r="AD123" s="187">
        <f t="shared" si="195"/>
        <v>165685.94259863583</v>
      </c>
      <c r="AE123" s="182">
        <f>VLOOKUP($H123,'Cost Drivers'!$A$2:$R$66,14,FALSE)</f>
        <v>38876</v>
      </c>
      <c r="AF123" s="264">
        <f t="shared" si="196"/>
        <v>4.2619081849633664</v>
      </c>
      <c r="AG123" s="187">
        <f t="shared" si="197"/>
        <v>165685.94259863583</v>
      </c>
      <c r="AH123" s="182">
        <f>VLOOKUP($H123,'Cost Drivers'!$A$2:$R$66,16,FALSE)</f>
        <v>38876</v>
      </c>
      <c r="AI123" s="264">
        <f t="shared" si="198"/>
        <v>4.2619081849633664</v>
      </c>
      <c r="AJ123" s="187">
        <f t="shared" si="199"/>
        <v>165685.94259863583</v>
      </c>
      <c r="AK123" s="182">
        <f>VLOOKUP($H123,'Cost Drivers'!$A$2:$R$66,18,FALSE)</f>
        <v>38876</v>
      </c>
      <c r="AL123" s="264">
        <f t="shared" si="200"/>
        <v>4.2619081849633664</v>
      </c>
      <c r="AM123" s="187">
        <f t="shared" si="201"/>
        <v>165685.94259863583</v>
      </c>
      <c r="AN123" s="182">
        <f>VLOOKUP($H123,'Cost Drivers'!$A$3:$V$67,20,FALSE)</f>
        <v>38876</v>
      </c>
      <c r="AO123" s="264">
        <f t="shared" si="202"/>
        <v>4.2619081849633664</v>
      </c>
      <c r="AP123" s="187">
        <f t="shared" si="203"/>
        <v>165685.94259863583</v>
      </c>
      <c r="AQ123" s="182">
        <f>VLOOKUP($H123,'Cost Drivers'!$A$3:$V$67,22,FALSE)</f>
        <v>38876</v>
      </c>
      <c r="AR123" s="264">
        <f t="shared" si="204"/>
        <v>4.2619081849633664</v>
      </c>
    </row>
    <row r="124" spans="2:44" outlineLevel="1" x14ac:dyDescent="0.25">
      <c r="B124" s="260" t="s">
        <v>333</v>
      </c>
      <c r="C124" s="261" t="s">
        <v>248</v>
      </c>
      <c r="D124" s="182">
        <f t="shared" si="141"/>
        <v>2000</v>
      </c>
      <c r="E124" s="262" t="s">
        <v>335</v>
      </c>
      <c r="F124" s="262" t="s">
        <v>203</v>
      </c>
      <c r="G124" s="287">
        <v>6559260.006666665</v>
      </c>
      <c r="H124" s="180" t="s">
        <v>313</v>
      </c>
      <c r="I124" s="150">
        <v>0.2</v>
      </c>
      <c r="J124" s="255">
        <f t="shared" si="86"/>
        <v>0.8</v>
      </c>
      <c r="K124" s="263">
        <f t="shared" si="184"/>
        <v>1311852.0013333331</v>
      </c>
      <c r="L124" s="257">
        <f t="shared" si="87"/>
        <v>5247408.0053333323</v>
      </c>
      <c r="M124" s="462">
        <f>VLOOKUP($H124,'Cost Drivers'!$A$2:$R$66,2,FALSE)</f>
        <v>46.8333333333334</v>
      </c>
      <c r="N124" s="258">
        <f t="shared" si="88"/>
        <v>112044.29904626317</v>
      </c>
      <c r="O124" s="187">
        <f t="shared" si="185"/>
        <v>5266082.0551743694</v>
      </c>
      <c r="P124" s="480">
        <f>VLOOKUP($H124,'Cost Drivers'!$A$2:$R$66,4,FALSE)</f>
        <v>47</v>
      </c>
      <c r="Q124" s="264">
        <f t="shared" si="186"/>
        <v>112044.29904626317</v>
      </c>
      <c r="R124" s="187">
        <f t="shared" si="187"/>
        <v>5154037.7561281063</v>
      </c>
      <c r="S124" s="182">
        <f>VLOOKUP($H124,'Cost Drivers'!$A$2:$R$66,6,FALSE)</f>
        <v>46</v>
      </c>
      <c r="T124" s="264">
        <f t="shared" si="188"/>
        <v>112044.29904626317</v>
      </c>
      <c r="U124" s="187">
        <f t="shared" si="189"/>
        <v>5266082.0551743694</v>
      </c>
      <c r="V124" s="182">
        <f>VLOOKUP($H124,'Cost Drivers'!$A$2:$R$66,8,FALSE)</f>
        <v>47</v>
      </c>
      <c r="W124" s="264">
        <f t="shared" si="190"/>
        <v>112044.29904626317</v>
      </c>
      <c r="X124" s="187">
        <f t="shared" si="191"/>
        <v>5041993.4570818432</v>
      </c>
      <c r="Y124" s="182">
        <f>VLOOKUP($H124,'Cost Drivers'!$A$2:$R$66,10,FALSE)</f>
        <v>45</v>
      </c>
      <c r="Z124" s="264">
        <f t="shared" si="192"/>
        <v>112044.29904626317</v>
      </c>
      <c r="AA124" s="187">
        <f t="shared" si="193"/>
        <v>5266082.0551743694</v>
      </c>
      <c r="AB124" s="182">
        <f>VLOOKUP($H124,'Cost Drivers'!$A$2:$R$66,12,FALSE)</f>
        <v>47</v>
      </c>
      <c r="AC124" s="264">
        <f t="shared" si="194"/>
        <v>112044.29904626317</v>
      </c>
      <c r="AD124" s="187">
        <f t="shared" si="195"/>
        <v>4862722.5786078218</v>
      </c>
      <c r="AE124" s="182">
        <f>VLOOKUP($H124,'Cost Drivers'!$A$2:$R$66,14,FALSE)</f>
        <v>43.400000000000006</v>
      </c>
      <c r="AF124" s="264">
        <f t="shared" si="196"/>
        <v>112044.29904626317</v>
      </c>
      <c r="AG124" s="187">
        <f t="shared" si="197"/>
        <v>5266082.0551743694</v>
      </c>
      <c r="AH124" s="182">
        <f>VLOOKUP($H124,'Cost Drivers'!$A$2:$R$66,16,FALSE)</f>
        <v>47</v>
      </c>
      <c r="AI124" s="264">
        <f t="shared" si="198"/>
        <v>112044.29904626317</v>
      </c>
      <c r="AJ124" s="187">
        <f t="shared" si="199"/>
        <v>4369727.6628042636</v>
      </c>
      <c r="AK124" s="182">
        <f>VLOOKUP($H124,'Cost Drivers'!$A$2:$R$66,18,FALSE)</f>
        <v>39</v>
      </c>
      <c r="AL124" s="264">
        <f t="shared" si="200"/>
        <v>112044.29904626317</v>
      </c>
      <c r="AM124" s="187">
        <f t="shared" si="201"/>
        <v>5247408.0053333323</v>
      </c>
      <c r="AN124" s="182">
        <f>VLOOKUP($H124,'Cost Drivers'!$A$3:$V$67,20,FALSE)</f>
        <v>46.8333333333334</v>
      </c>
      <c r="AO124" s="264">
        <f t="shared" si="202"/>
        <v>112044.29904626317</v>
      </c>
      <c r="AP124" s="187">
        <f t="shared" si="203"/>
        <v>5247408.0053333323</v>
      </c>
      <c r="AQ124" s="182">
        <f>VLOOKUP($H124,'Cost Drivers'!$A$3:$V$67,22,FALSE)</f>
        <v>46.8333333333334</v>
      </c>
      <c r="AR124" s="264">
        <f t="shared" si="204"/>
        <v>112044.29904626317</v>
      </c>
    </row>
    <row r="125" spans="2:44" outlineLevel="1" x14ac:dyDescent="0.25">
      <c r="B125" s="260" t="s">
        <v>333</v>
      </c>
      <c r="C125" s="261" t="s">
        <v>250</v>
      </c>
      <c r="D125" s="182">
        <f t="shared" si="141"/>
        <v>2000</v>
      </c>
      <c r="E125" s="262" t="s">
        <v>335</v>
      </c>
      <c r="F125" s="262" t="s">
        <v>204</v>
      </c>
      <c r="G125" s="287">
        <v>19632915.934999999</v>
      </c>
      <c r="H125" s="180" t="s">
        <v>531</v>
      </c>
      <c r="I125" s="150">
        <v>0.5</v>
      </c>
      <c r="J125" s="255">
        <f t="shared" ref="J125:J153" si="205">1-I125</f>
        <v>0.5</v>
      </c>
      <c r="K125" s="263">
        <f t="shared" si="184"/>
        <v>9816457.9674999993</v>
      </c>
      <c r="L125" s="257">
        <f t="shared" ref="L125:L153" si="206">G125*J125</f>
        <v>9816457.9674999993</v>
      </c>
      <c r="M125" s="462">
        <f>VLOOKUP($H125,'Cost Drivers'!$A$2:$R$66,2,FALSE)</f>
        <v>38938.833333333328</v>
      </c>
      <c r="N125" s="258">
        <f t="shared" ref="N125:N153" si="207">L125/M125</f>
        <v>252.0994371728309</v>
      </c>
      <c r="O125" s="187">
        <f t="shared" si="185"/>
        <v>9703349.3533551246</v>
      </c>
      <c r="P125" s="480">
        <f>VLOOKUP($H125,'Cost Drivers'!$A$2:$R$66,4,FALSE)</f>
        <v>38490.166666666672</v>
      </c>
      <c r="Q125" s="264">
        <f t="shared" si="186"/>
        <v>252.0994371728309</v>
      </c>
      <c r="R125" s="187">
        <f t="shared" si="187"/>
        <v>9800617.7195309736</v>
      </c>
      <c r="S125" s="182">
        <f>VLOOKUP($H125,'Cost Drivers'!$A$2:$R$66,6,FALSE)</f>
        <v>38876</v>
      </c>
      <c r="T125" s="264">
        <f t="shared" si="188"/>
        <v>252.0994371728309</v>
      </c>
      <c r="U125" s="187">
        <f t="shared" si="189"/>
        <v>9703349.3533551246</v>
      </c>
      <c r="V125" s="182">
        <f>VLOOKUP($H125,'Cost Drivers'!$A$2:$R$66,8,FALSE)</f>
        <v>38490.166666666672</v>
      </c>
      <c r="W125" s="264">
        <f t="shared" si="190"/>
        <v>252.0994371728309</v>
      </c>
      <c r="X125" s="187">
        <f t="shared" si="191"/>
        <v>9800617.7195309736</v>
      </c>
      <c r="Y125" s="182">
        <f>VLOOKUP($H125,'Cost Drivers'!$A$2:$R$66,10,FALSE)</f>
        <v>38876</v>
      </c>
      <c r="Z125" s="264">
        <f t="shared" si="192"/>
        <v>252.0994371728309</v>
      </c>
      <c r="AA125" s="187">
        <f t="shared" si="193"/>
        <v>9703349.3533551246</v>
      </c>
      <c r="AB125" s="182">
        <f>VLOOKUP($H125,'Cost Drivers'!$A$2:$R$66,12,FALSE)</f>
        <v>38490.166666666672</v>
      </c>
      <c r="AC125" s="264">
        <f t="shared" si="194"/>
        <v>252.0994371728309</v>
      </c>
      <c r="AD125" s="187">
        <f t="shared" si="195"/>
        <v>9800617.7195309736</v>
      </c>
      <c r="AE125" s="182">
        <f>VLOOKUP($H125,'Cost Drivers'!$A$2:$R$66,14,FALSE)</f>
        <v>38876</v>
      </c>
      <c r="AF125" s="264">
        <f t="shared" si="196"/>
        <v>252.0994371728309</v>
      </c>
      <c r="AG125" s="187">
        <f t="shared" si="197"/>
        <v>9703349.3533551246</v>
      </c>
      <c r="AH125" s="182">
        <f>VLOOKUP($H125,'Cost Drivers'!$A$2:$R$66,16,FALSE)</f>
        <v>38490.166666666672</v>
      </c>
      <c r="AI125" s="264">
        <f t="shared" si="198"/>
        <v>252.0994371728309</v>
      </c>
      <c r="AJ125" s="187">
        <f t="shared" si="199"/>
        <v>9800617.7195309736</v>
      </c>
      <c r="AK125" s="182">
        <f>VLOOKUP($H125,'Cost Drivers'!$A$2:$R$66,18,FALSE)</f>
        <v>38876</v>
      </c>
      <c r="AL125" s="264">
        <f t="shared" si="200"/>
        <v>252.0994371728309</v>
      </c>
      <c r="AM125" s="187">
        <f t="shared" si="201"/>
        <v>9703349.3533551246</v>
      </c>
      <c r="AN125" s="182">
        <f>VLOOKUP($H125,'Cost Drivers'!$A$3:$V$67,20,FALSE)</f>
        <v>38490.166666666672</v>
      </c>
      <c r="AO125" s="264">
        <f t="shared" si="202"/>
        <v>252.0994371728309</v>
      </c>
      <c r="AP125" s="187">
        <f t="shared" si="203"/>
        <v>9800617.7195309736</v>
      </c>
      <c r="AQ125" s="182">
        <f>VLOOKUP($H125,'Cost Drivers'!$A$3:$V$67,22,FALSE)</f>
        <v>38876</v>
      </c>
      <c r="AR125" s="264">
        <f t="shared" si="204"/>
        <v>252.0994371728309</v>
      </c>
    </row>
    <row r="126" spans="2:44" outlineLevel="1" x14ac:dyDescent="0.25">
      <c r="B126" s="260" t="s">
        <v>333</v>
      </c>
      <c r="C126" s="261" t="s">
        <v>249</v>
      </c>
      <c r="D126" s="182">
        <f t="shared" si="141"/>
        <v>2000</v>
      </c>
      <c r="E126" s="262" t="s">
        <v>335</v>
      </c>
      <c r="F126" s="262" t="s">
        <v>205</v>
      </c>
      <c r="G126" s="287">
        <v>1328769.3116666668</v>
      </c>
      <c r="H126" s="180" t="s">
        <v>531</v>
      </c>
      <c r="I126" s="150">
        <v>0.75</v>
      </c>
      <c r="J126" s="255">
        <f t="shared" si="205"/>
        <v>0.25</v>
      </c>
      <c r="K126" s="263">
        <f t="shared" si="184"/>
        <v>996576.98375000013</v>
      </c>
      <c r="L126" s="257">
        <f t="shared" si="206"/>
        <v>332192.32791666669</v>
      </c>
      <c r="M126" s="462">
        <f>VLOOKUP($H126,'Cost Drivers'!$A$2:$R$66,2,FALSE)</f>
        <v>38938.833333333328</v>
      </c>
      <c r="N126" s="258">
        <f t="shared" si="207"/>
        <v>8.5311320211613957</v>
      </c>
      <c r="O126" s="187">
        <f t="shared" si="185"/>
        <v>328364.69334983901</v>
      </c>
      <c r="P126" s="480">
        <f>VLOOKUP($H126,'Cost Drivers'!$A$2:$R$66,4,FALSE)</f>
        <v>38490.166666666672</v>
      </c>
      <c r="Q126" s="264">
        <f t="shared" si="186"/>
        <v>8.5311320211613957</v>
      </c>
      <c r="R126" s="187">
        <f t="shared" si="187"/>
        <v>331656.2884546704</v>
      </c>
      <c r="S126" s="182">
        <f>VLOOKUP($H126,'Cost Drivers'!$A$2:$R$66,6,FALSE)</f>
        <v>38876</v>
      </c>
      <c r="T126" s="264">
        <f t="shared" si="188"/>
        <v>8.5311320211613957</v>
      </c>
      <c r="U126" s="187">
        <f t="shared" si="189"/>
        <v>328364.69334983901</v>
      </c>
      <c r="V126" s="182">
        <f>VLOOKUP($H126,'Cost Drivers'!$A$2:$R$66,8,FALSE)</f>
        <v>38490.166666666672</v>
      </c>
      <c r="W126" s="264">
        <f t="shared" si="190"/>
        <v>8.5311320211613957</v>
      </c>
      <c r="X126" s="187">
        <f t="shared" si="191"/>
        <v>331656.2884546704</v>
      </c>
      <c r="Y126" s="182">
        <f>VLOOKUP($H126,'Cost Drivers'!$A$2:$R$66,10,FALSE)</f>
        <v>38876</v>
      </c>
      <c r="Z126" s="264">
        <f t="shared" si="192"/>
        <v>8.5311320211613957</v>
      </c>
      <c r="AA126" s="187">
        <f t="shared" si="193"/>
        <v>328364.69334983901</v>
      </c>
      <c r="AB126" s="182">
        <f>VLOOKUP($H126,'Cost Drivers'!$A$2:$R$66,12,FALSE)</f>
        <v>38490.166666666672</v>
      </c>
      <c r="AC126" s="264">
        <f t="shared" si="194"/>
        <v>8.5311320211613957</v>
      </c>
      <c r="AD126" s="187">
        <f t="shared" si="195"/>
        <v>331656.2884546704</v>
      </c>
      <c r="AE126" s="182">
        <f>VLOOKUP($H126,'Cost Drivers'!$A$2:$R$66,14,FALSE)</f>
        <v>38876</v>
      </c>
      <c r="AF126" s="264">
        <f t="shared" si="196"/>
        <v>8.5311320211613957</v>
      </c>
      <c r="AG126" s="187">
        <f t="shared" si="197"/>
        <v>328364.69334983901</v>
      </c>
      <c r="AH126" s="182">
        <f>VLOOKUP($H126,'Cost Drivers'!$A$2:$R$66,16,FALSE)</f>
        <v>38490.166666666672</v>
      </c>
      <c r="AI126" s="264">
        <f t="shared" si="198"/>
        <v>8.5311320211613957</v>
      </c>
      <c r="AJ126" s="187">
        <f t="shared" si="199"/>
        <v>331656.2884546704</v>
      </c>
      <c r="AK126" s="182">
        <f>VLOOKUP($H126,'Cost Drivers'!$A$2:$R$66,18,FALSE)</f>
        <v>38876</v>
      </c>
      <c r="AL126" s="264">
        <f t="shared" si="200"/>
        <v>8.5311320211613957</v>
      </c>
      <c r="AM126" s="187">
        <f t="shared" si="201"/>
        <v>328364.69334983901</v>
      </c>
      <c r="AN126" s="182">
        <f>VLOOKUP($H126,'Cost Drivers'!$A$3:$V$67,20,FALSE)</f>
        <v>38490.166666666672</v>
      </c>
      <c r="AO126" s="264">
        <f t="shared" si="202"/>
        <v>8.5311320211613957</v>
      </c>
      <c r="AP126" s="187">
        <f t="shared" si="203"/>
        <v>331656.2884546704</v>
      </c>
      <c r="AQ126" s="182">
        <f>VLOOKUP($H126,'Cost Drivers'!$A$3:$V$67,22,FALSE)</f>
        <v>38876</v>
      </c>
      <c r="AR126" s="264">
        <f t="shared" si="204"/>
        <v>8.5311320211613957</v>
      </c>
    </row>
    <row r="127" spans="2:44" outlineLevel="1" x14ac:dyDescent="0.25">
      <c r="B127" s="260" t="s">
        <v>333</v>
      </c>
      <c r="C127" s="261" t="s">
        <v>251</v>
      </c>
      <c r="D127" s="182">
        <f t="shared" si="141"/>
        <v>2000</v>
      </c>
      <c r="E127" s="262" t="s">
        <v>335</v>
      </c>
      <c r="F127" s="262" t="s">
        <v>206</v>
      </c>
      <c r="G127" s="287">
        <v>59647.203333333338</v>
      </c>
      <c r="H127" s="180" t="s">
        <v>531</v>
      </c>
      <c r="I127" s="150">
        <v>0.75</v>
      </c>
      <c r="J127" s="255">
        <f t="shared" si="205"/>
        <v>0.25</v>
      </c>
      <c r="K127" s="263">
        <f t="shared" si="184"/>
        <v>44735.402500000004</v>
      </c>
      <c r="L127" s="257">
        <f t="shared" si="206"/>
        <v>14911.800833333335</v>
      </c>
      <c r="M127" s="462">
        <f>VLOOKUP($H127,'Cost Drivers'!$A$2:$R$66,2,FALSE)</f>
        <v>38938.833333333328</v>
      </c>
      <c r="N127" s="258">
        <f t="shared" si="207"/>
        <v>0.38295448416961653</v>
      </c>
      <c r="O127" s="187">
        <f t="shared" si="185"/>
        <v>14739.981921435903</v>
      </c>
      <c r="P127" s="480">
        <f>VLOOKUP($H127,'Cost Drivers'!$A$2:$R$66,4,FALSE)</f>
        <v>38490.166666666672</v>
      </c>
      <c r="Q127" s="264">
        <f t="shared" si="186"/>
        <v>0.38295448416961653</v>
      </c>
      <c r="R127" s="187">
        <f t="shared" si="187"/>
        <v>14887.738526578012</v>
      </c>
      <c r="S127" s="182">
        <f>VLOOKUP($H127,'Cost Drivers'!$A$2:$R$66,6,FALSE)</f>
        <v>38876</v>
      </c>
      <c r="T127" s="264">
        <f t="shared" si="188"/>
        <v>0.38295448416961653</v>
      </c>
      <c r="U127" s="187">
        <f t="shared" si="189"/>
        <v>14739.981921435903</v>
      </c>
      <c r="V127" s="182">
        <f>VLOOKUP($H127,'Cost Drivers'!$A$2:$R$66,8,FALSE)</f>
        <v>38490.166666666672</v>
      </c>
      <c r="W127" s="264">
        <f t="shared" si="190"/>
        <v>0.38295448416961653</v>
      </c>
      <c r="X127" s="187">
        <f t="shared" si="191"/>
        <v>14887.738526578012</v>
      </c>
      <c r="Y127" s="182">
        <f>VLOOKUP($H127,'Cost Drivers'!$A$2:$R$66,10,FALSE)</f>
        <v>38876</v>
      </c>
      <c r="Z127" s="264">
        <f t="shared" si="192"/>
        <v>0.38295448416961653</v>
      </c>
      <c r="AA127" s="187">
        <f t="shared" si="193"/>
        <v>14739.981921435903</v>
      </c>
      <c r="AB127" s="182">
        <f>VLOOKUP($H127,'Cost Drivers'!$A$2:$R$66,12,FALSE)</f>
        <v>38490.166666666672</v>
      </c>
      <c r="AC127" s="264">
        <f t="shared" si="194"/>
        <v>0.38295448416961653</v>
      </c>
      <c r="AD127" s="187">
        <f t="shared" si="195"/>
        <v>14887.738526578012</v>
      </c>
      <c r="AE127" s="182">
        <f>VLOOKUP($H127,'Cost Drivers'!$A$2:$R$66,14,FALSE)</f>
        <v>38876</v>
      </c>
      <c r="AF127" s="264">
        <f t="shared" si="196"/>
        <v>0.38295448416961653</v>
      </c>
      <c r="AG127" s="187">
        <f t="shared" si="197"/>
        <v>14739.981921435903</v>
      </c>
      <c r="AH127" s="182">
        <f>VLOOKUP($H127,'Cost Drivers'!$A$2:$R$66,16,FALSE)</f>
        <v>38490.166666666672</v>
      </c>
      <c r="AI127" s="264">
        <f t="shared" si="198"/>
        <v>0.38295448416961653</v>
      </c>
      <c r="AJ127" s="187">
        <f t="shared" si="199"/>
        <v>14887.738526578012</v>
      </c>
      <c r="AK127" s="182">
        <f>VLOOKUP($H127,'Cost Drivers'!$A$2:$R$66,18,FALSE)</f>
        <v>38876</v>
      </c>
      <c r="AL127" s="264">
        <f t="shared" si="200"/>
        <v>0.38295448416961653</v>
      </c>
      <c r="AM127" s="187">
        <f t="shared" si="201"/>
        <v>14739.981921435903</v>
      </c>
      <c r="AN127" s="182">
        <f>VLOOKUP($H127,'Cost Drivers'!$A$3:$V$67,20,FALSE)</f>
        <v>38490.166666666672</v>
      </c>
      <c r="AO127" s="264">
        <f t="shared" si="202"/>
        <v>0.38295448416961653</v>
      </c>
      <c r="AP127" s="187">
        <f t="shared" si="203"/>
        <v>14887.738526578012</v>
      </c>
      <c r="AQ127" s="182">
        <f>VLOOKUP($H127,'Cost Drivers'!$A$3:$V$67,22,FALSE)</f>
        <v>38876</v>
      </c>
      <c r="AR127" s="264">
        <f t="shared" si="204"/>
        <v>0.38295448416961653</v>
      </c>
    </row>
    <row r="128" spans="2:44" ht="27" outlineLevel="1" x14ac:dyDescent="0.25">
      <c r="B128" s="250" t="s">
        <v>333</v>
      </c>
      <c r="C128" s="251" t="s">
        <v>252</v>
      </c>
      <c r="D128" s="182">
        <f t="shared" si="141"/>
        <v>3000</v>
      </c>
      <c r="E128" s="252" t="s">
        <v>335</v>
      </c>
      <c r="F128" s="252" t="s">
        <v>269</v>
      </c>
      <c r="G128" s="253">
        <f>SUM(G129:G134)</f>
        <v>11620783.123333331</v>
      </c>
      <c r="H128" s="181" t="s">
        <v>270</v>
      </c>
      <c r="I128" s="254">
        <f>K128/G128</f>
        <v>3.7403656589825522E-2</v>
      </c>
      <c r="J128" s="255">
        <f t="shared" si="205"/>
        <v>0.96259634341017453</v>
      </c>
      <c r="K128" s="256">
        <f>SUMIFS(K$19:K$168, $B$19:$B$168,$B128,$D$19:$D$168,$C128,$F$19:$F$168,"&lt;&gt;"&amp;$F128)</f>
        <v>434659.78125</v>
      </c>
      <c r="L128" s="257">
        <f t="shared" si="206"/>
        <v>11186123.342083331</v>
      </c>
      <c r="M128" s="462">
        <f>VLOOKUP($H128,'Cost Drivers'!$A$2:$R$66,2,FALSE)</f>
        <v>27071.666666666668</v>
      </c>
      <c r="N128" s="258">
        <f t="shared" si="207"/>
        <v>413.20408823801012</v>
      </c>
      <c r="O128" s="256">
        <f>SUMIFS(O$19:O$168, $E$19:$E$168,$E128,$C$19:$C$168,"3100")+SUMIFS(O$19:O$168, $E$19:$E$168,$E128,$C$19:$C$168,"3200")+SUMIFS(O$19:O$168, $E$19:$E$168,$E128,$C$19:$C$168,"3300")+SUMIFS(O$19:O$168, $E$19:$E$168,$E128,$C$19:$C$168,"3400")</f>
        <v>140800.21940229001</v>
      </c>
      <c r="P128" s="480">
        <f>VLOOKUP($H128,'Cost Drivers'!$A$2:$R$66,4,FALSE)</f>
        <v>26877</v>
      </c>
      <c r="Q128" s="264">
        <f>O128/P128</f>
        <v>5.2386880753912273</v>
      </c>
      <c r="R128" s="256">
        <f>SUMIFS(R$19:R$168, $E$19:$E$168,$E128,$C$19:$C$168,"3100")+SUMIFS(R$19:R$168, $E$19:$E$168,$E128,$C$19:$C$168,"3200")+SUMIFS(R$19:R$168, $E$19:$E$168,$E128,$C$19:$C$168,"3300")+SUMIFS(R$19:R$168, $E$19:$E$168,$E128,$C$19:$C$168,"3400")</f>
        <v>133818.41871478604</v>
      </c>
      <c r="S128" s="182">
        <f>VLOOKUP($H128,'Cost Drivers'!$A$2:$R$66,6,FALSE)</f>
        <v>26100</v>
      </c>
      <c r="T128" s="264">
        <f>R128/S128</f>
        <v>5.1271424794937177</v>
      </c>
      <c r="U128" s="256">
        <f>SUMIFS(U$19:U$168, $E$19:$E$168,$E128,$C$19:$C$168,"3100")+SUMIFS(U$19:U$168, $E$19:$E$168,$E128,$C$19:$C$168,"3200")+SUMIFS(U$19:U$168, $E$19:$E$168,$E128,$C$19:$C$168,"3300")+SUMIFS(U$19:U$168, $E$19:$E$168,$E128,$C$19:$C$168,"3400")</f>
        <v>140800.21940229001</v>
      </c>
      <c r="V128" s="182">
        <f>VLOOKUP($H128,'Cost Drivers'!$A$2:$R$66,8,FALSE)</f>
        <v>26683</v>
      </c>
      <c r="W128" s="264">
        <f>U128/V128</f>
        <v>5.2767762021620515</v>
      </c>
      <c r="X128" s="256">
        <f>SUMIFS(X$19:X$168, $E$19:$E$168,$E128,$C$19:$C$168,"3100")+SUMIFS(X$19:X$168, $E$19:$E$168,$E128,$C$19:$C$168,"3200")+SUMIFS(X$19:X$168, $E$19:$E$168,$E128,$C$19:$C$168,"3300")+SUMIFS(X$19:X$168, $E$19:$E$168,$E128,$C$19:$C$168,"3400")</f>
        <v>130532.24457832472</v>
      </c>
      <c r="Y128" s="182">
        <f>VLOOKUP($H128,'Cost Drivers'!$A$2:$R$66,10,FALSE)</f>
        <v>25128</v>
      </c>
      <c r="Z128" s="264">
        <f>X128/Y128</f>
        <v>5.1946929552023526</v>
      </c>
      <c r="AA128" s="256">
        <f>SUMIFS(AA$19:AA$168, $E$19:$E$168,$E128,$C$19:$C$168,"3100")+SUMIFS(AA$19:AA$168, $E$19:$E$168,$E128,$C$19:$C$168,"3200")+SUMIFS(AA$19:AA$168, $E$19:$E$168,$E128,$C$19:$C$168,"3300")+SUMIFS(AA$19:AA$168, $E$19:$E$168,$E128,$C$19:$C$168,"3400")</f>
        <v>140800.21940229001</v>
      </c>
      <c r="AB128" s="182">
        <f>VLOOKUP($H128,'Cost Drivers'!$A$2:$R$66,12,FALSE)</f>
        <v>26294</v>
      </c>
      <c r="AC128" s="264">
        <f>AA128/AB128</f>
        <v>5.3548421465843923</v>
      </c>
      <c r="AD128" s="256">
        <f>SUMIFS(AD$19:AD$168, $E$19:$E$168,$E128,$C$19:$C$168,"3100")+SUMIFS(AD$19:AD$168, $E$19:$E$168,$E128,$C$19:$C$168,"3200")+SUMIFS(AD$19:AD$168, $E$19:$E$168,$E128,$C$19:$C$168,"3300")+SUMIFS(AD$19:AD$168, $E$19:$E$168,$E128,$C$19:$C$168,"3400")</f>
        <v>123959.89630540212</v>
      </c>
      <c r="AE128" s="182">
        <f>VLOOKUP($H128,'Cost Drivers'!$A$2:$R$66,14,FALSE)</f>
        <v>23184</v>
      </c>
      <c r="AF128" s="264">
        <f>AD128/AE128</f>
        <v>5.3467864175898079</v>
      </c>
      <c r="AG128" s="256">
        <f>SUMIFS(AG$19:AG$168, $E$19:$E$168,$E128,$C$19:$C$168,"3100")+SUMIFS(AG$19:AG$168, $E$19:$E$168,$E128,$C$19:$C$168,"3200")+SUMIFS(AG$19:AG$168, $E$19:$E$168,$E128,$C$19:$C$168,"3300")+SUMIFS(AG$19:AG$168, $E$19:$E$168,$E128,$C$19:$C$168,"3400")</f>
        <v>140800.21940229001</v>
      </c>
      <c r="AH128" s="182">
        <f>VLOOKUP($H128,'Cost Drivers'!$A$2:$R$66,16,FALSE)</f>
        <v>25517</v>
      </c>
      <c r="AI128" s="264">
        <f>AG128/AH128</f>
        <v>5.5178986323741039</v>
      </c>
      <c r="AJ128" s="256">
        <f>SUMIFS(AJ$19:AJ$168, $E$19:$E$168,$E128,$C$19:$C$168,"3100")+SUMIFS(AJ$19:AJ$168, $E$19:$E$168,$E128,$C$19:$C$168,"3200")+SUMIFS(AJ$19:AJ$168, $E$19:$E$168,$E128,$C$19:$C$168,"3300")+SUMIFS(AJ$19:AJ$168, $E$19:$E$168,$E128,$C$19:$C$168,"3400")</f>
        <v>110940.85177068222</v>
      </c>
      <c r="AK128" s="182">
        <f>VLOOKUP($H128,'Cost Drivers'!$A$2:$R$66,18,FALSE)</f>
        <v>19296</v>
      </c>
      <c r="AL128" s="264">
        <f>AJ128/AK128</f>
        <v>5.7494222517973785</v>
      </c>
      <c r="AM128" s="256">
        <f>SUMIFS(AM$19:AM$168, $E$19:$E$168,$E128,$C$19:$C$168,"3100")+SUMIFS(AM$19:AM$168, $E$19:$E$168,$E128,$C$19:$C$168,"3200")+SUMIFS(AM$19:AM$168, $E$19:$E$168,$E128,$C$19:$C$168,"3300")+SUMIFS(AM$19:AM$168, $E$19:$E$168,$E128,$C$19:$C$168,"3400")</f>
        <v>140800.21940229001</v>
      </c>
      <c r="AN128" s="182">
        <f>VLOOKUP($H128,'Cost Drivers'!$A$3:$V$67,20,FALSE)</f>
        <v>27072</v>
      </c>
      <c r="AO128" s="264">
        <f>AM128/AN128</f>
        <v>5.2009537308765514</v>
      </c>
      <c r="AP128" s="256">
        <f>SUMIFS(AP$19:AP$168, $E$19:$E$168,$E128,$C$19:$C$168,"3100")+SUMIFS(AP$19:AP$168, $E$19:$E$168,$E128,$C$19:$C$168,"3200")+SUMIFS(AP$19:AP$168, $E$19:$E$168,$E128,$C$19:$C$168,"3300")+SUMIFS(AP$19:AP$168, $E$19:$E$168,$E128,$C$19:$C$168,"3400")</f>
        <v>137063.43905166484</v>
      </c>
      <c r="AQ128" s="182">
        <f>VLOOKUP($H128,'Cost Drivers'!$A$3:$V$67,22,FALSE)</f>
        <v>27072</v>
      </c>
      <c r="AR128" s="264">
        <f>AP128/AQ128</f>
        <v>5.0629225418020409</v>
      </c>
    </row>
    <row r="129" spans="1:44" outlineLevel="1" x14ac:dyDescent="0.25">
      <c r="B129" s="260" t="s">
        <v>333</v>
      </c>
      <c r="C129" s="261" t="s">
        <v>253</v>
      </c>
      <c r="D129" s="182">
        <f t="shared" si="141"/>
        <v>3000</v>
      </c>
      <c r="E129" s="262" t="s">
        <v>335</v>
      </c>
      <c r="F129" s="262" t="s">
        <v>207</v>
      </c>
      <c r="G129" s="287">
        <v>5383.43</v>
      </c>
      <c r="H129" s="180" t="s">
        <v>532</v>
      </c>
      <c r="I129" s="135">
        <v>0.75</v>
      </c>
      <c r="J129" s="255">
        <f t="shared" si="205"/>
        <v>0.25</v>
      </c>
      <c r="K129" s="263">
        <f t="shared" ref="K129:K134" si="208">G129*I129</f>
        <v>4037.5725000000002</v>
      </c>
      <c r="L129" s="257">
        <f t="shared" si="206"/>
        <v>1345.8575000000001</v>
      </c>
      <c r="M129" s="462">
        <f>VLOOKUP($H129,'Cost Drivers'!$A$2:$R$66,2,FALSE)</f>
        <v>27646.333333333332</v>
      </c>
      <c r="N129" s="258">
        <f t="shared" si="207"/>
        <v>4.8681229578364828E-2</v>
      </c>
      <c r="O129" s="187">
        <f t="shared" ref="O129:O134" si="209">P129*Q129</f>
        <v>1313.8333644756992</v>
      </c>
      <c r="P129" s="480">
        <f>VLOOKUP($H129,'Cost Drivers'!$A$2:$R$66,4,FALSE)</f>
        <v>26988.5</v>
      </c>
      <c r="Q129" s="264">
        <f>$N129</f>
        <v>4.8681229578364828E-2</v>
      </c>
      <c r="R129" s="187">
        <f t="shared" ref="R129:R134" si="210">S129*T129</f>
        <v>1289.4684090717276</v>
      </c>
      <c r="S129" s="182">
        <f>VLOOKUP($H129,'Cost Drivers'!$A$2:$R$66,6,FALSE)</f>
        <v>26488</v>
      </c>
      <c r="T129" s="264">
        <f>$N129</f>
        <v>4.8681229578364828E-2</v>
      </c>
      <c r="U129" s="187">
        <f t="shared" ref="U129:U134" si="211">V129*W129</f>
        <v>1313.8333644756992</v>
      </c>
      <c r="V129" s="182">
        <f>VLOOKUP($H129,'Cost Drivers'!$A$2:$R$66,8,FALSE)</f>
        <v>26988.5</v>
      </c>
      <c r="W129" s="264">
        <f>$N129</f>
        <v>4.8681229578364828E-2</v>
      </c>
      <c r="X129" s="187">
        <f t="shared" ref="X129:X134" si="212">Y129*Z129</f>
        <v>1261.0872522275408</v>
      </c>
      <c r="Y129" s="182">
        <f>VLOOKUP($H129,'Cost Drivers'!$A$2:$R$66,10,FALSE)</f>
        <v>25905</v>
      </c>
      <c r="Z129" s="264">
        <f>$N129</f>
        <v>4.8681229578364828E-2</v>
      </c>
      <c r="AA129" s="187">
        <f t="shared" ref="AA129:AA134" si="213">AB129*AC129</f>
        <v>1313.8333644756992</v>
      </c>
      <c r="AB129" s="182">
        <f>VLOOKUP($H129,'Cost Drivers'!$A$2:$R$66,12,FALSE)</f>
        <v>26988.5</v>
      </c>
      <c r="AC129" s="264">
        <f>$N129</f>
        <v>4.8681229578364828E-2</v>
      </c>
      <c r="AD129" s="187">
        <f t="shared" ref="AD129:AD134" si="214">AE129*AF129</f>
        <v>1204.3249385391675</v>
      </c>
      <c r="AE129" s="182">
        <f>VLOOKUP($H129,'Cost Drivers'!$A$2:$R$66,14,FALSE)</f>
        <v>24739</v>
      </c>
      <c r="AF129" s="264">
        <f>$N129</f>
        <v>4.8681229578364828E-2</v>
      </c>
      <c r="AG129" s="187">
        <f t="shared" ref="AG129:AG134" si="215">AH129*AI129</f>
        <v>1313.8333644756992</v>
      </c>
      <c r="AH129" s="182">
        <f>VLOOKUP($H129,'Cost Drivers'!$A$2:$R$66,16,FALSE)</f>
        <v>26988.5</v>
      </c>
      <c r="AI129" s="264">
        <f>$N129</f>
        <v>4.8681229578364828E-2</v>
      </c>
      <c r="AJ129" s="187">
        <f t="shared" ref="AJ129:AJ134" si="216">AK129*AL129</f>
        <v>1090.7516299328424</v>
      </c>
      <c r="AK129" s="182">
        <f>VLOOKUP($H129,'Cost Drivers'!$A$2:$R$66,18,FALSE)</f>
        <v>22406</v>
      </c>
      <c r="AL129" s="264">
        <f>$N129</f>
        <v>4.8681229578364828E-2</v>
      </c>
      <c r="AM129" s="187">
        <f t="shared" ref="AM129:AM134" si="217">AN129*AO129</f>
        <v>1313.8333644756992</v>
      </c>
      <c r="AN129" s="182">
        <f>VLOOKUP($H129,'Cost Drivers'!$A$3:$V$67,20,FALSE)</f>
        <v>26988.5</v>
      </c>
      <c r="AO129" s="264">
        <f>$N129</f>
        <v>4.8681229578364828E-2</v>
      </c>
      <c r="AP129" s="187">
        <f t="shared" ref="AP129:AP134" si="218">AQ129*AR129</f>
        <v>1317.8982471454926</v>
      </c>
      <c r="AQ129" s="182">
        <f>VLOOKUP($H129,'Cost Drivers'!$A$3:$V$67,22,FALSE)</f>
        <v>27072</v>
      </c>
      <c r="AR129" s="264">
        <f>$N129</f>
        <v>4.8681229578364828E-2</v>
      </c>
    </row>
    <row r="130" spans="1:44" outlineLevel="1" x14ac:dyDescent="0.25">
      <c r="B130" s="260" t="s">
        <v>333</v>
      </c>
      <c r="C130" s="261" t="s">
        <v>254</v>
      </c>
      <c r="D130" s="182">
        <f t="shared" si="141"/>
        <v>3000</v>
      </c>
      <c r="E130" s="262" t="s">
        <v>335</v>
      </c>
      <c r="F130" s="262" t="s">
        <v>208</v>
      </c>
      <c r="G130" s="287">
        <v>458421.57499999995</v>
      </c>
      <c r="H130" s="180" t="s">
        <v>536</v>
      </c>
      <c r="I130" s="150">
        <v>0.75</v>
      </c>
      <c r="J130" s="255">
        <f t="shared" si="205"/>
        <v>0.25</v>
      </c>
      <c r="K130" s="263">
        <f t="shared" si="208"/>
        <v>343816.18124999997</v>
      </c>
      <c r="L130" s="257">
        <f t="shared" si="206"/>
        <v>114605.39374999999</v>
      </c>
      <c r="M130" s="462">
        <f>VLOOKUP($H130,'Cost Drivers'!$A$2:$R$66,2,FALSE)</f>
        <v>8137.833333333333</v>
      </c>
      <c r="N130" s="258">
        <f t="shared" si="207"/>
        <v>14.083035257132323</v>
      </c>
      <c r="O130" s="187">
        <f t="shared" si="209"/>
        <v>111239.54832354537</v>
      </c>
      <c r="P130" s="480">
        <f>VLOOKUP($H130,'Cost Drivers'!$A$2:$R$66,4,FALSE)</f>
        <v>7898.8333333333339</v>
      </c>
      <c r="Q130" s="264">
        <f>$N130</f>
        <v>14.083035257132323</v>
      </c>
      <c r="R130" s="187">
        <f t="shared" si="210"/>
        <v>104805.94838357875</v>
      </c>
      <c r="S130" s="182">
        <f>VLOOKUP($H130,'Cost Drivers'!$A$2:$R$66,6,FALSE)</f>
        <v>7442</v>
      </c>
      <c r="T130" s="264">
        <f>$N130</f>
        <v>14.083035257132323</v>
      </c>
      <c r="U130" s="187">
        <f t="shared" si="211"/>
        <v>111239.54832354537</v>
      </c>
      <c r="V130" s="182">
        <f>VLOOKUP($H130,'Cost Drivers'!$A$2:$R$66,8,FALSE)</f>
        <v>7898.8333333333339</v>
      </c>
      <c r="W130" s="264">
        <f>$N130</f>
        <v>14.083035257132323</v>
      </c>
      <c r="X130" s="187">
        <f t="shared" si="212"/>
        <v>102158.33775523787</v>
      </c>
      <c r="Y130" s="182">
        <f>VLOOKUP($H130,'Cost Drivers'!$A$2:$R$66,10,FALSE)</f>
        <v>7254</v>
      </c>
      <c r="Z130" s="264">
        <f>$N130</f>
        <v>14.083035257132323</v>
      </c>
      <c r="AA130" s="187">
        <f t="shared" si="213"/>
        <v>111239.54832354537</v>
      </c>
      <c r="AB130" s="182">
        <f>VLOOKUP($H130,'Cost Drivers'!$A$2:$R$66,12,FALSE)</f>
        <v>7898.8333333333339</v>
      </c>
      <c r="AC130" s="264">
        <f>$N130</f>
        <v>14.083035257132323</v>
      </c>
      <c r="AD130" s="187">
        <f t="shared" si="214"/>
        <v>96863.116498556119</v>
      </c>
      <c r="AE130" s="182">
        <f>VLOOKUP($H130,'Cost Drivers'!$A$2:$R$66,14,FALSE)</f>
        <v>6878</v>
      </c>
      <c r="AF130" s="264">
        <f>$N130</f>
        <v>14.083035257132323</v>
      </c>
      <c r="AG130" s="187">
        <f t="shared" si="215"/>
        <v>111239.54832354537</v>
      </c>
      <c r="AH130" s="182">
        <f>VLOOKUP($H130,'Cost Drivers'!$A$2:$R$66,16,FALSE)</f>
        <v>7898.8333333333339</v>
      </c>
      <c r="AI130" s="264">
        <f>$N130</f>
        <v>14.083035257132323</v>
      </c>
      <c r="AJ130" s="187">
        <f t="shared" si="216"/>
        <v>86399.421302506802</v>
      </c>
      <c r="AK130" s="182">
        <f>VLOOKUP($H130,'Cost Drivers'!$A$2:$R$66,18,FALSE)</f>
        <v>6135</v>
      </c>
      <c r="AL130" s="264">
        <f>$N130</f>
        <v>14.083035257132323</v>
      </c>
      <c r="AM130" s="187">
        <f t="shared" si="217"/>
        <v>111239.54832354537</v>
      </c>
      <c r="AN130" s="182">
        <f>VLOOKUP($H130,'Cost Drivers'!$A$3:$V$67,20,FALSE)</f>
        <v>7898.8333333333339</v>
      </c>
      <c r="AO130" s="264">
        <f>$N130</f>
        <v>14.083035257132323</v>
      </c>
      <c r="AP130" s="187">
        <f t="shared" si="218"/>
        <v>107411.30990614824</v>
      </c>
      <c r="AQ130" s="182">
        <f>VLOOKUP($H130,'Cost Drivers'!$A$3:$V$67,22,FALSE)</f>
        <v>7627</v>
      </c>
      <c r="AR130" s="264">
        <f>$N130</f>
        <v>14.083035257132323</v>
      </c>
    </row>
    <row r="131" spans="1:44" outlineLevel="1" x14ac:dyDescent="0.25">
      <c r="B131" s="260" t="s">
        <v>333</v>
      </c>
      <c r="C131" s="261" t="s">
        <v>255</v>
      </c>
      <c r="D131" s="182">
        <f t="shared" si="141"/>
        <v>3000</v>
      </c>
      <c r="E131" s="262" t="s">
        <v>335</v>
      </c>
      <c r="F131" s="262" t="s">
        <v>209</v>
      </c>
      <c r="G131" s="287">
        <v>115741.37000000001</v>
      </c>
      <c r="H131" s="180" t="s">
        <v>532</v>
      </c>
      <c r="I131" s="150">
        <v>0.75</v>
      </c>
      <c r="J131" s="255">
        <f t="shared" si="205"/>
        <v>0.25</v>
      </c>
      <c r="K131" s="263">
        <f t="shared" si="208"/>
        <v>86806.027500000011</v>
      </c>
      <c r="L131" s="257">
        <f t="shared" si="206"/>
        <v>28935.342500000002</v>
      </c>
      <c r="M131" s="462">
        <f>VLOOKUP($H131,'Cost Drivers'!$A$2:$R$66,2,FALSE)</f>
        <v>27646.333333333332</v>
      </c>
      <c r="N131" s="258">
        <f t="shared" si="207"/>
        <v>1.046624959307443</v>
      </c>
      <c r="O131" s="187">
        <f t="shared" si="209"/>
        <v>28246.837714268928</v>
      </c>
      <c r="P131" s="480">
        <f>VLOOKUP($H131,'Cost Drivers'!$A$2:$R$66,4,FALSE)</f>
        <v>26988.5</v>
      </c>
      <c r="Q131" s="264">
        <f>$N131</f>
        <v>1.046624959307443</v>
      </c>
      <c r="R131" s="187">
        <f t="shared" si="210"/>
        <v>27723.001922135551</v>
      </c>
      <c r="S131" s="182">
        <f>VLOOKUP($H131,'Cost Drivers'!$A$2:$R$66,6,FALSE)</f>
        <v>26488</v>
      </c>
      <c r="T131" s="264">
        <f>$N131</f>
        <v>1.046624959307443</v>
      </c>
      <c r="U131" s="187">
        <f t="shared" si="211"/>
        <v>28246.837714268928</v>
      </c>
      <c r="V131" s="182">
        <f>VLOOKUP($H131,'Cost Drivers'!$A$2:$R$66,8,FALSE)</f>
        <v>26988.5</v>
      </c>
      <c r="W131" s="264">
        <f>$N131</f>
        <v>1.046624959307443</v>
      </c>
      <c r="X131" s="187">
        <f t="shared" si="212"/>
        <v>27112.819570859312</v>
      </c>
      <c r="Y131" s="182">
        <f>VLOOKUP($H131,'Cost Drivers'!$A$2:$R$66,10,FALSE)</f>
        <v>25905</v>
      </c>
      <c r="Z131" s="264">
        <f>$N131</f>
        <v>1.046624959307443</v>
      </c>
      <c r="AA131" s="187">
        <f t="shared" si="213"/>
        <v>28246.837714268928</v>
      </c>
      <c r="AB131" s="182">
        <f>VLOOKUP($H131,'Cost Drivers'!$A$2:$R$66,12,FALSE)</f>
        <v>26988.5</v>
      </c>
      <c r="AC131" s="264">
        <f>$N131</f>
        <v>1.046624959307443</v>
      </c>
      <c r="AD131" s="187">
        <f t="shared" si="214"/>
        <v>25892.454868306831</v>
      </c>
      <c r="AE131" s="182">
        <f>VLOOKUP($H131,'Cost Drivers'!$A$2:$R$66,14,FALSE)</f>
        <v>24739</v>
      </c>
      <c r="AF131" s="264">
        <f>$N131</f>
        <v>1.046624959307443</v>
      </c>
      <c r="AG131" s="187">
        <f t="shared" si="215"/>
        <v>28246.837714268928</v>
      </c>
      <c r="AH131" s="182">
        <f>VLOOKUP($H131,'Cost Drivers'!$A$2:$R$66,16,FALSE)</f>
        <v>26988.5</v>
      </c>
      <c r="AI131" s="264">
        <f>$N131</f>
        <v>1.046624959307443</v>
      </c>
      <c r="AJ131" s="187">
        <f t="shared" si="216"/>
        <v>23450.678838242569</v>
      </c>
      <c r="AK131" s="182">
        <f>VLOOKUP($H131,'Cost Drivers'!$A$2:$R$66,18,FALSE)</f>
        <v>22406</v>
      </c>
      <c r="AL131" s="264">
        <f>$N131</f>
        <v>1.046624959307443</v>
      </c>
      <c r="AM131" s="187">
        <f t="shared" si="217"/>
        <v>28246.837714268928</v>
      </c>
      <c r="AN131" s="182">
        <f>VLOOKUP($H131,'Cost Drivers'!$A$3:$V$67,20,FALSE)</f>
        <v>26988.5</v>
      </c>
      <c r="AO131" s="264">
        <f>$N131</f>
        <v>1.046624959307443</v>
      </c>
      <c r="AP131" s="187">
        <f t="shared" si="218"/>
        <v>28334.230898371097</v>
      </c>
      <c r="AQ131" s="182">
        <f>VLOOKUP($H131,'Cost Drivers'!$A$3:$V$67,22,FALSE)</f>
        <v>27072</v>
      </c>
      <c r="AR131" s="264">
        <f>$N131</f>
        <v>1.046624959307443</v>
      </c>
    </row>
    <row r="132" spans="1:44" outlineLevel="1" x14ac:dyDescent="0.25">
      <c r="B132" s="260" t="s">
        <v>333</v>
      </c>
      <c r="C132" s="261" t="s">
        <v>256</v>
      </c>
      <c r="D132" s="182">
        <f t="shared" si="141"/>
        <v>3000</v>
      </c>
      <c r="E132" s="262" t="s">
        <v>335</v>
      </c>
      <c r="F132" s="262" t="s">
        <v>210</v>
      </c>
      <c r="G132" s="287">
        <v>0</v>
      </c>
      <c r="H132" s="180" t="s">
        <v>93</v>
      </c>
      <c r="I132" s="135">
        <v>1</v>
      </c>
      <c r="J132" s="255">
        <f t="shared" si="205"/>
        <v>0</v>
      </c>
      <c r="K132" s="263">
        <f t="shared" si="208"/>
        <v>0</v>
      </c>
      <c r="L132" s="257">
        <f t="shared" si="206"/>
        <v>0</v>
      </c>
      <c r="M132" s="462">
        <f>VLOOKUP($H132,'Cost Drivers'!$A$2:$R$66,2,FALSE)</f>
        <v>1</v>
      </c>
      <c r="N132" s="258">
        <f t="shared" si="207"/>
        <v>0</v>
      </c>
      <c r="O132" s="187">
        <f t="shared" si="209"/>
        <v>0</v>
      </c>
      <c r="P132" s="480">
        <f>VLOOKUP($H132,'Cost Drivers'!$A$2:$R$66,4,FALSE)</f>
        <v>1</v>
      </c>
      <c r="Q132" s="264">
        <f>$N132</f>
        <v>0</v>
      </c>
      <c r="R132" s="187">
        <f t="shared" si="210"/>
        <v>0</v>
      </c>
      <c r="S132" s="182">
        <f>VLOOKUP($H132,'Cost Drivers'!$A$2:$R$66,6,FALSE)</f>
        <v>1</v>
      </c>
      <c r="T132" s="264">
        <f>$N132</f>
        <v>0</v>
      </c>
      <c r="U132" s="187">
        <f t="shared" si="211"/>
        <v>0</v>
      </c>
      <c r="V132" s="182">
        <f>VLOOKUP($H132,'Cost Drivers'!$A$2:$R$66,8,FALSE)</f>
        <v>1</v>
      </c>
      <c r="W132" s="264">
        <f>$N132</f>
        <v>0</v>
      </c>
      <c r="X132" s="187">
        <f t="shared" si="212"/>
        <v>0</v>
      </c>
      <c r="Y132" s="182">
        <f>VLOOKUP($H132,'Cost Drivers'!$A$2:$R$66,10,FALSE)</f>
        <v>1</v>
      </c>
      <c r="Z132" s="264">
        <f>$N132</f>
        <v>0</v>
      </c>
      <c r="AA132" s="187">
        <f t="shared" si="213"/>
        <v>0</v>
      </c>
      <c r="AB132" s="182">
        <f>VLOOKUP($H132,'Cost Drivers'!$A$2:$R$66,12,FALSE)</f>
        <v>1</v>
      </c>
      <c r="AC132" s="264">
        <f>$N132</f>
        <v>0</v>
      </c>
      <c r="AD132" s="187">
        <f t="shared" si="214"/>
        <v>0</v>
      </c>
      <c r="AE132" s="182">
        <f>VLOOKUP($H132,'Cost Drivers'!$A$2:$R$66,14,FALSE)</f>
        <v>1</v>
      </c>
      <c r="AF132" s="264">
        <f>$N132</f>
        <v>0</v>
      </c>
      <c r="AG132" s="187">
        <f t="shared" si="215"/>
        <v>0</v>
      </c>
      <c r="AH132" s="182">
        <f>VLOOKUP($H132,'Cost Drivers'!$A$2:$R$66,16,FALSE)</f>
        <v>1</v>
      </c>
      <c r="AI132" s="264">
        <f>$N132</f>
        <v>0</v>
      </c>
      <c r="AJ132" s="187">
        <f t="shared" si="216"/>
        <v>0</v>
      </c>
      <c r="AK132" s="182">
        <f>VLOOKUP($H132,'Cost Drivers'!$A$2:$R$66,18,FALSE)</f>
        <v>1</v>
      </c>
      <c r="AL132" s="264">
        <f>$N132</f>
        <v>0</v>
      </c>
      <c r="AM132" s="187">
        <f t="shared" si="217"/>
        <v>0</v>
      </c>
      <c r="AN132" s="182">
        <f>VLOOKUP($H132,'Cost Drivers'!$A$3:$V$67,20,FALSE)</f>
        <v>1</v>
      </c>
      <c r="AO132" s="264">
        <f>$N132</f>
        <v>0</v>
      </c>
      <c r="AP132" s="187">
        <f t="shared" si="218"/>
        <v>0</v>
      </c>
      <c r="AQ132" s="182">
        <f>VLOOKUP($H132,'Cost Drivers'!$A$3:$V$67,22,FALSE)</f>
        <v>1</v>
      </c>
      <c r="AR132" s="264">
        <f>$N132</f>
        <v>0</v>
      </c>
    </row>
    <row r="133" spans="1:44" outlineLevel="1" x14ac:dyDescent="0.25">
      <c r="B133" s="250" t="s">
        <v>333</v>
      </c>
      <c r="C133" s="251" t="s">
        <v>257</v>
      </c>
      <c r="D133" s="182">
        <f t="shared" si="141"/>
        <v>4000</v>
      </c>
      <c r="E133" s="252" t="s">
        <v>335</v>
      </c>
      <c r="F133" s="252" t="s">
        <v>211</v>
      </c>
      <c r="G133" s="287">
        <v>11041236.748333331</v>
      </c>
      <c r="H133" s="180" t="s">
        <v>93</v>
      </c>
      <c r="I133" s="135">
        <v>1</v>
      </c>
      <c r="J133" s="255">
        <f t="shared" si="205"/>
        <v>0</v>
      </c>
      <c r="K133" s="256">
        <f t="shared" si="208"/>
        <v>11041236.748333331</v>
      </c>
      <c r="L133" s="257">
        <f t="shared" si="206"/>
        <v>0</v>
      </c>
      <c r="M133" s="462">
        <f>VLOOKUP($H133,'Cost Drivers'!$A$2:$R$66,2,FALSE)</f>
        <v>1</v>
      </c>
      <c r="N133" s="258">
        <f t="shared" si="207"/>
        <v>0</v>
      </c>
      <c r="O133" s="187">
        <f t="shared" si="209"/>
        <v>0</v>
      </c>
      <c r="P133" s="480">
        <f>VLOOKUP($H133,'Cost Drivers'!$A$2:$R$66,4,FALSE)</f>
        <v>1</v>
      </c>
      <c r="Q133" s="264">
        <f>$N133</f>
        <v>0</v>
      </c>
      <c r="R133" s="187">
        <f t="shared" si="210"/>
        <v>0</v>
      </c>
      <c r="S133" s="182">
        <f>VLOOKUP($H133,'Cost Drivers'!$A$2:$R$66,6,FALSE)</f>
        <v>1</v>
      </c>
      <c r="T133" s="264">
        <f>$N133</f>
        <v>0</v>
      </c>
      <c r="U133" s="187">
        <f t="shared" si="211"/>
        <v>0</v>
      </c>
      <c r="V133" s="182">
        <f>VLOOKUP($H133,'Cost Drivers'!$A$2:$R$66,8,FALSE)</f>
        <v>1</v>
      </c>
      <c r="W133" s="264">
        <f>$N133</f>
        <v>0</v>
      </c>
      <c r="X133" s="187">
        <f t="shared" si="212"/>
        <v>0</v>
      </c>
      <c r="Y133" s="182">
        <f>VLOOKUP($H133,'Cost Drivers'!$A$2:$R$66,10,FALSE)</f>
        <v>1</v>
      </c>
      <c r="Z133" s="264">
        <f>$N133</f>
        <v>0</v>
      </c>
      <c r="AA133" s="187">
        <f t="shared" si="213"/>
        <v>0</v>
      </c>
      <c r="AB133" s="182">
        <f>VLOOKUP($H133,'Cost Drivers'!$A$2:$R$66,12,FALSE)</f>
        <v>1</v>
      </c>
      <c r="AC133" s="264">
        <f>$N133</f>
        <v>0</v>
      </c>
      <c r="AD133" s="187">
        <f t="shared" si="214"/>
        <v>0</v>
      </c>
      <c r="AE133" s="182">
        <f>VLOOKUP($H133,'Cost Drivers'!$A$2:$R$66,14,FALSE)</f>
        <v>1</v>
      </c>
      <c r="AF133" s="264">
        <f>$N133</f>
        <v>0</v>
      </c>
      <c r="AG133" s="187">
        <f t="shared" si="215"/>
        <v>0</v>
      </c>
      <c r="AH133" s="182">
        <f>VLOOKUP($H133,'Cost Drivers'!$A$2:$R$66,16,FALSE)</f>
        <v>1</v>
      </c>
      <c r="AI133" s="264">
        <f>$N133</f>
        <v>0</v>
      </c>
      <c r="AJ133" s="187">
        <f t="shared" si="216"/>
        <v>0</v>
      </c>
      <c r="AK133" s="182">
        <f>VLOOKUP($H133,'Cost Drivers'!$A$2:$R$66,18,FALSE)</f>
        <v>1</v>
      </c>
      <c r="AL133" s="264">
        <f>$N133</f>
        <v>0</v>
      </c>
      <c r="AM133" s="187">
        <f t="shared" si="217"/>
        <v>0</v>
      </c>
      <c r="AN133" s="182">
        <f>VLOOKUP($H133,'Cost Drivers'!$A$3:$V$67,20,FALSE)</f>
        <v>1</v>
      </c>
      <c r="AO133" s="264">
        <f>$N133</f>
        <v>0</v>
      </c>
      <c r="AP133" s="187">
        <f t="shared" si="218"/>
        <v>0</v>
      </c>
      <c r="AQ133" s="182">
        <f>VLOOKUP($H133,'Cost Drivers'!$A$3:$V$67,22,FALSE)</f>
        <v>1</v>
      </c>
      <c r="AR133" s="264">
        <f>$N133</f>
        <v>0</v>
      </c>
    </row>
    <row r="134" spans="1:44" outlineLevel="1" x14ac:dyDescent="0.25">
      <c r="B134" s="250" t="s">
        <v>333</v>
      </c>
      <c r="C134" s="251" t="s">
        <v>258</v>
      </c>
      <c r="D134" s="182">
        <f t="shared" si="141"/>
        <v>5000</v>
      </c>
      <c r="E134" s="252" t="s">
        <v>335</v>
      </c>
      <c r="F134" s="252" t="s">
        <v>212</v>
      </c>
      <c r="G134" s="287">
        <v>0</v>
      </c>
      <c r="H134" s="180" t="s">
        <v>93</v>
      </c>
      <c r="I134" s="135">
        <v>1</v>
      </c>
      <c r="J134" s="255">
        <f t="shared" si="205"/>
        <v>0</v>
      </c>
      <c r="K134" s="256">
        <f t="shared" si="208"/>
        <v>0</v>
      </c>
      <c r="L134" s="257">
        <f t="shared" si="206"/>
        <v>0</v>
      </c>
      <c r="M134" s="462">
        <f>VLOOKUP($H134,'Cost Drivers'!$A$2:$R$66,2,FALSE)</f>
        <v>1</v>
      </c>
      <c r="N134" s="258">
        <f t="shared" si="207"/>
        <v>0</v>
      </c>
      <c r="O134" s="187">
        <f t="shared" si="209"/>
        <v>0</v>
      </c>
      <c r="P134" s="480">
        <f>VLOOKUP($H134,'Cost Drivers'!$A$2:$R$66,4,FALSE)</f>
        <v>1</v>
      </c>
      <c r="Q134" s="264">
        <f>N134</f>
        <v>0</v>
      </c>
      <c r="R134" s="187">
        <f t="shared" si="210"/>
        <v>0</v>
      </c>
      <c r="S134" s="182">
        <f>VLOOKUP($H134,'Cost Drivers'!$A$2:$R$66,6,FALSE)</f>
        <v>1</v>
      </c>
      <c r="T134" s="264">
        <f>Q134</f>
        <v>0</v>
      </c>
      <c r="U134" s="187">
        <f t="shared" si="211"/>
        <v>0</v>
      </c>
      <c r="V134" s="182">
        <f>VLOOKUP($H134,'Cost Drivers'!$A$2:$R$66,8,FALSE)</f>
        <v>1</v>
      </c>
      <c r="W134" s="264">
        <f>T134</f>
        <v>0</v>
      </c>
      <c r="X134" s="187">
        <f t="shared" si="212"/>
        <v>0</v>
      </c>
      <c r="Y134" s="182">
        <f>VLOOKUP($H134,'Cost Drivers'!$A$2:$R$66,10,FALSE)</f>
        <v>1</v>
      </c>
      <c r="Z134" s="264">
        <f>W134</f>
        <v>0</v>
      </c>
      <c r="AA134" s="187">
        <f t="shared" si="213"/>
        <v>0</v>
      </c>
      <c r="AB134" s="182">
        <f>VLOOKUP($H134,'Cost Drivers'!$A$2:$R$66,12,FALSE)</f>
        <v>1</v>
      </c>
      <c r="AC134" s="264">
        <f>Z134</f>
        <v>0</v>
      </c>
      <c r="AD134" s="187">
        <f t="shared" si="214"/>
        <v>0</v>
      </c>
      <c r="AE134" s="182">
        <f>VLOOKUP($H134,'Cost Drivers'!$A$2:$R$66,14,FALSE)</f>
        <v>1</v>
      </c>
      <c r="AF134" s="264">
        <f>AC134</f>
        <v>0</v>
      </c>
      <c r="AG134" s="187">
        <f t="shared" si="215"/>
        <v>0</v>
      </c>
      <c r="AH134" s="182">
        <f>VLOOKUP($H134,'Cost Drivers'!$A$2:$R$66,16,FALSE)</f>
        <v>1</v>
      </c>
      <c r="AI134" s="264">
        <f>AF134</f>
        <v>0</v>
      </c>
      <c r="AJ134" s="187">
        <f t="shared" si="216"/>
        <v>0</v>
      </c>
      <c r="AK134" s="182">
        <f>VLOOKUP($H134,'Cost Drivers'!$A$2:$R$66,18,FALSE)</f>
        <v>1</v>
      </c>
      <c r="AL134" s="264">
        <f>AI134</f>
        <v>0</v>
      </c>
      <c r="AM134" s="187">
        <f t="shared" si="217"/>
        <v>0</v>
      </c>
      <c r="AN134" s="182">
        <f>VLOOKUP($H134,'Cost Drivers'!$A$3:$V$67,20,FALSE)</f>
        <v>1</v>
      </c>
      <c r="AO134" s="264">
        <f>AL134</f>
        <v>0</v>
      </c>
      <c r="AP134" s="187">
        <f t="shared" si="218"/>
        <v>0</v>
      </c>
      <c r="AQ134" s="182">
        <f>VLOOKUP($H134,'Cost Drivers'!$A$3:$V$67,22,FALSE)</f>
        <v>1</v>
      </c>
      <c r="AR134" s="264">
        <f>AO134</f>
        <v>0</v>
      </c>
    </row>
    <row r="135" spans="1:44" s="249" customFormat="1" ht="30" customHeight="1" x14ac:dyDescent="0.25">
      <c r="A135" s="204" t="s">
        <v>283</v>
      </c>
      <c r="B135" s="238" t="s">
        <v>332</v>
      </c>
      <c r="C135" s="239" t="s">
        <v>196</v>
      </c>
      <c r="D135" s="182">
        <f t="shared" si="141"/>
        <v>0</v>
      </c>
      <c r="E135" s="240" t="s">
        <v>334</v>
      </c>
      <c r="F135" s="240" t="s">
        <v>235</v>
      </c>
      <c r="G135" s="241">
        <f>SUM(G136,)</f>
        <v>119999563.645</v>
      </c>
      <c r="H135" s="181" t="s">
        <v>424</v>
      </c>
      <c r="I135" s="242">
        <f>K135/G135</f>
        <v>0</v>
      </c>
      <c r="J135" s="243">
        <f t="shared" ref="J135" si="219">1-I135</f>
        <v>1</v>
      </c>
      <c r="K135" s="241">
        <f>SUMIFS(K$19:K$168,$E$19:$E$168,$E135,$F$19:$F$168,"&lt;&gt;"&amp;$F135,$C$19:$C$168,"1000")+SUMIFS(K$19:K$168,$E$19:$E$168,$E135,$F$19:$F$168,"&lt;&gt;"&amp;$F135,$C$19:$C$168,"2000")+SUMIFS(K$19:K$168,$E$19:$E$168,$E135,$F$19:$F$168,"&lt;&gt;"&amp;$F135,$C$19:$C$168,"3000")+SUMIFS(K$19:K$168,$E$19:$E$168,$E135,$F$19:$F$168,"&lt;&gt;"&amp;$F135,$C$19:$C$168,"4000")+SUMIFS(K$19:K$168,$E$19:$E$168,$E135,$F$19:$F$168,"&lt;&gt;"&amp;$F135,$C$19:$C$168,"5000")</f>
        <v>0</v>
      </c>
      <c r="L135" s="244">
        <f t="shared" si="206"/>
        <v>119999563.645</v>
      </c>
      <c r="M135" s="461">
        <f>VLOOKUP($H135,'Cost Drivers'!$A$2:$R$66,2,FALSE)</f>
        <v>11804.500000000002</v>
      </c>
      <c r="N135" s="245">
        <f t="shared" si="207"/>
        <v>10165.577842771823</v>
      </c>
      <c r="O135" s="246">
        <f>SUMIFS(O$19:O$168, $E$19:$E$168,$E135,$C$19:$C$168,"1000")+SUMIFS(O$19:O$168, $E$19:$E$168,$E135,$C$19:$C$168,"2000")+SUMIFS(O$19:O$168, $E$19:$E$168,$E135,$C$19:$C$168,"3000")+SUMIFS(O$19:O$168, $E$19:$E$168,$E135,$C$19:$C$168,"4000")+SUMIFS(O$19:O$168, $E$19:$E$168,$E135,$C$19:$C$168,"5000")</f>
        <v>121986043.85577407</v>
      </c>
      <c r="P135" s="479">
        <f>VLOOKUP($H135,'Cost Drivers'!$A$2:$R$66,4,FALSE)</f>
        <v>11999</v>
      </c>
      <c r="Q135" s="248">
        <f>O135/P135</f>
        <v>10166.350850552053</v>
      </c>
      <c r="R135" s="246">
        <f>SUMIFS(R$19:R$168, $E$19:$E$168,$E135,$C$19:$C$168,"1000")+SUMIFS(R$19:R$168, $E$19:$E$168,$E135,$C$19:$C$168,"2000")+SUMIFS(R$19:R$168, $E$19:$E$168,$E135,$C$19:$C$168,"3000")+SUMIFS(R$19:R$168, $E$19:$E$168,$E135,$C$19:$C$168,"4000")+SUMIFS(R$19:R$168, $E$19:$E$168,$E135,$C$19:$C$168,"5000")</f>
        <v>129865837.62943135</v>
      </c>
      <c r="S135" s="247">
        <f>VLOOKUP($H135,'Cost Drivers'!$A$2:$R$66,6,FALSE)</f>
        <v>12776</v>
      </c>
      <c r="T135" s="248">
        <f>R135/S135</f>
        <v>10164.827616580413</v>
      </c>
      <c r="U135" s="246">
        <f>SUMIFS(U$19:U$168, $E$19:$E$168,$E135,$C$19:$C$168,"1000")+SUMIFS(U$19:U$168, $E$19:$E$168,$E135,$C$19:$C$168,"2000")+SUMIFS(U$19:U$168, $E$19:$E$168,$E135,$C$19:$C$168,"3000")+SUMIFS(U$19:U$168, $E$19:$E$168,$E135,$C$19:$C$168,"4000")+SUMIFS(U$19:U$168, $E$19:$E$168,$E135,$C$19:$C$168,"5000")</f>
        <v>123939460.53182861</v>
      </c>
      <c r="V135" s="247">
        <f>VLOOKUP($H135,'Cost Drivers'!$A$2:$R$66,8,FALSE)</f>
        <v>12193</v>
      </c>
      <c r="W135" s="248">
        <f>U135/V135</f>
        <v>10164.804439582433</v>
      </c>
      <c r="X135" s="246">
        <f>SUMIFS(X$19:X$168, $E$19:$E$168,$E135,$C$19:$C$168,"1000")+SUMIFS(X$19:X$168, $E$19:$E$168,$E135,$C$19:$C$168,"2000")+SUMIFS(X$19:X$168, $E$19:$E$168,$E135,$C$19:$C$168,"3000")+SUMIFS(X$19:X$168, $E$19:$E$168,$E135,$C$19:$C$168,"4000")+SUMIFS(X$19:X$168, $E$19:$E$168,$E135,$C$19:$C$168,"5000")</f>
        <v>139765175.14858228</v>
      </c>
      <c r="Y135" s="247">
        <f>VLOOKUP($H135,'Cost Drivers'!$A$2:$R$66,10,FALSE)</f>
        <v>13748</v>
      </c>
      <c r="Z135" s="248">
        <f>X135/Y135</f>
        <v>10166.218733530861</v>
      </c>
      <c r="AA135" s="246">
        <f>SUMIFS(AA$19:AA$168, $E$19:$E$168,$E135,$C$19:$C$168,"1000")+SUMIFS(AA$19:AA$168, $E$19:$E$168,$E135,$C$19:$C$168,"2000")+SUMIFS(AA$19:AA$168, $E$19:$E$168,$E135,$C$19:$C$168,"3000")+SUMIFS(AA$19:AA$168, $E$19:$E$168,$E135,$C$19:$C$168,"4000")+SUMIFS(AA$19:AA$168, $E$19:$E$168,$E135,$C$19:$C$168,"5000")</f>
        <v>127912420.9533768</v>
      </c>
      <c r="AB135" s="247">
        <f>VLOOKUP($H135,'Cost Drivers'!$A$2:$R$66,12,FALSE)</f>
        <v>12582</v>
      </c>
      <c r="AC135" s="248">
        <f>AA135/AB135</f>
        <v>10166.30273035899</v>
      </c>
      <c r="AD135" s="246">
        <f>SUMIFS(AD$19:AD$168, $E$19:$E$168,$E135,$C$19:$C$168,"1000")+SUMIFS(AD$19:AD$168, $E$19:$E$168,$E135,$C$19:$C$168,"2000")+SUMIFS(AD$19:AD$168, $E$19:$E$168,$E135,$C$19:$C$168,"3000")+SUMIFS(AD$19:AD$168, $E$19:$E$168,$E135,$C$19:$C$168,"4000")+SUMIFS(AD$19:AD$168, $E$19:$E$168,$E135,$C$19:$C$168,"5000")</f>
        <v>159519998.43367791</v>
      </c>
      <c r="AE135" s="247">
        <f>VLOOKUP($H135,'Cost Drivers'!$A$2:$R$66,14,FALSE)</f>
        <v>15692</v>
      </c>
      <c r="AF135" s="248">
        <f>AD135/AE135</f>
        <v>10165.689423507387</v>
      </c>
      <c r="AG135" s="246">
        <f>SUMIFS(AG$19:AG$168, $E$19:$E$168,$E135,$C$19:$C$168,"1000")+SUMIFS(AG$19:AG$168, $E$19:$E$168,$E135,$C$19:$C$168,"2000")+SUMIFS(AG$19:AG$168, $E$19:$E$168,$E135,$C$19:$C$168,"3000")+SUMIFS(AG$19:AG$168, $E$19:$E$168,$E135,$C$19:$C$168,"4000")+SUMIFS(AG$19:AG$168, $E$19:$E$168,$E135,$C$19:$C$168,"5000")</f>
        <v>135792214.72703409</v>
      </c>
      <c r="AH135" s="247">
        <f>VLOOKUP($H135,'Cost Drivers'!$A$2:$R$66,16,FALSE)</f>
        <v>13359</v>
      </c>
      <c r="AI135" s="248">
        <f>AG135/AH135</f>
        <v>10164.848770644066</v>
      </c>
      <c r="AJ135" s="246">
        <f>SUMIFS(AJ$19:AJ$168, $E$19:$E$168,$E135,$C$19:$C$168,"1000")+SUMIFS(AJ$19:AJ$168, $E$19:$E$168,$E135,$C$19:$C$168,"2000")+SUMIFS(AJ$19:AJ$168, $E$19:$E$168,$E135,$C$19:$C$168,"3000")+SUMIFS(AJ$19:AJ$168, $E$19:$E$168,$E135,$C$19:$C$168,"4000")+SUMIFS(AJ$19:AJ$168, $E$19:$E$168,$E135,$C$19:$C$168,"5000")</f>
        <v>199044262.25493795</v>
      </c>
      <c r="AK135" s="247">
        <f>VLOOKUP($H135,'Cost Drivers'!$A$2:$R$66,18,FALSE)</f>
        <v>19580</v>
      </c>
      <c r="AL135" s="248">
        <f>AJ135/AK135</f>
        <v>10165.692658577014</v>
      </c>
      <c r="AM135" s="246">
        <f>SUMIFS(AM$19:AM$168, $E$19:$E$168,$E135,$C$19:$C$168,"1000")+SUMIFS(AM$19:AM$168, $E$19:$E$168,$E135,$C$19:$C$168,"2000")+SUMIFS(AM$19:AM$168, $E$19:$E$168,$E135,$C$19:$C$168,"3000")+SUMIFS(AM$19:AM$168, $E$19:$E$168,$E135,$C$19:$C$168,"4000")+SUMIFS(AM$19:AM$168, $E$19:$E$168,$E135,$C$19:$C$168,"5000")</f>
        <v>119995734.61241788</v>
      </c>
      <c r="AN135" s="247">
        <f>VLOOKUP($H135,'Cost Drivers'!$A$3:$V$67,20,FALSE)</f>
        <v>11804</v>
      </c>
      <c r="AO135" s="248">
        <f>AM135/AN135</f>
        <v>10165.684057304125</v>
      </c>
      <c r="AP135" s="246">
        <f>SUMIFS(AP$19:AP$168, $E$19:$E$168,$E135,$C$19:$C$168,"1000")+SUMIFS(AP$19:AP$168, $E$19:$E$168,$E135,$C$19:$C$168,"2000")+SUMIFS(AP$19:AP$168, $E$19:$E$168,$E135,$C$19:$C$168,"3000")+SUMIFS(AP$19:AP$168, $E$19:$E$168,$E135,$C$19:$C$168,"4000")+SUMIFS(AP$19:AP$168, $E$19:$E$168,$E135,$C$19:$C$168,"5000")</f>
        <v>119995734.61241788</v>
      </c>
      <c r="AQ135" s="247">
        <f>VLOOKUP($H135,'Cost Drivers'!$A$3:$V$67,22,FALSE)</f>
        <v>11804</v>
      </c>
      <c r="AR135" s="248">
        <f>AP135/AQ135</f>
        <v>10165.684057304125</v>
      </c>
    </row>
    <row r="136" spans="1:44" outlineLevel="1" x14ac:dyDescent="0.25">
      <c r="B136" s="250" t="s">
        <v>332</v>
      </c>
      <c r="C136" s="251" t="s">
        <v>238</v>
      </c>
      <c r="D136" s="182">
        <f t="shared" si="141"/>
        <v>1000</v>
      </c>
      <c r="E136" s="252" t="s">
        <v>334</v>
      </c>
      <c r="F136" s="252" t="s">
        <v>234</v>
      </c>
      <c r="G136" s="253">
        <f>SUM(G137:G144)</f>
        <v>119999563.645</v>
      </c>
      <c r="H136" s="181" t="s">
        <v>424</v>
      </c>
      <c r="I136" s="254">
        <f>K136/G136</f>
        <v>0</v>
      </c>
      <c r="J136" s="255">
        <f t="shared" si="205"/>
        <v>1</v>
      </c>
      <c r="K136" s="256">
        <f>SUMIFS(K$19:K$168, $B$19:$B$168,$B136,$D$19:$D$168,$C136,$F$19:$F$168,"&lt;&gt;"&amp;$F136)</f>
        <v>0</v>
      </c>
      <c r="L136" s="257">
        <f t="shared" si="206"/>
        <v>119999563.645</v>
      </c>
      <c r="M136" s="462">
        <f>VLOOKUP($H136,'Cost Drivers'!$A$2:$R$66,2,FALSE)</f>
        <v>11804.500000000002</v>
      </c>
      <c r="N136" s="258">
        <f t="shared" si="207"/>
        <v>10165.577842771823</v>
      </c>
      <c r="O136" s="256">
        <f>SUMIFS(O$19:O$168, $B$19:$B$168,$B136,$D$19:$D$168,$C136,$F$19:$F$168,"&lt;&gt;"&amp;$F136)</f>
        <v>121986043.85577407</v>
      </c>
      <c r="P136" s="480">
        <f>VLOOKUP($H136,'Cost Drivers'!$A$2:$R$66,4,FALSE)</f>
        <v>11999</v>
      </c>
      <c r="Q136" s="264">
        <f>O136/P136</f>
        <v>10166.350850552053</v>
      </c>
      <c r="R136" s="256">
        <f>SUMIFS(R$19:R$168, $B$19:$B$168,$B136,$D$19:$D$168,$C136,$F$19:$F$168,"&lt;&gt;"&amp;$F136)</f>
        <v>129865837.62943135</v>
      </c>
      <c r="S136" s="182">
        <f>VLOOKUP($H136,'Cost Drivers'!$A$2:$R$66,6,FALSE)</f>
        <v>12776</v>
      </c>
      <c r="T136" s="264">
        <f>R136/S136</f>
        <v>10164.827616580413</v>
      </c>
      <c r="U136" s="256">
        <f>SUMIFS(U$19:U$168, $B$19:$B$168,$B136,$D$19:$D$168,$C136,$F$19:$F$168,"&lt;&gt;"&amp;$F136)</f>
        <v>123939460.53182861</v>
      </c>
      <c r="V136" s="182">
        <f>VLOOKUP($H136,'Cost Drivers'!$A$2:$R$66,8,FALSE)</f>
        <v>12193</v>
      </c>
      <c r="W136" s="264">
        <f>U136/V136</f>
        <v>10164.804439582433</v>
      </c>
      <c r="X136" s="256">
        <f>SUMIFS(X$19:X$168, $B$19:$B$168,$B136,$D$19:$D$168,$C136,$F$19:$F$168,"&lt;&gt;"&amp;$F136)</f>
        <v>139765175.14858228</v>
      </c>
      <c r="Y136" s="182">
        <f>VLOOKUP($H136,'Cost Drivers'!$A$2:$R$66,10,FALSE)</f>
        <v>13748</v>
      </c>
      <c r="Z136" s="264">
        <f>X136/Y136</f>
        <v>10166.218733530861</v>
      </c>
      <c r="AA136" s="256">
        <f>SUMIFS(AA$19:AA$168, $B$19:$B$168,$B136,$D$19:$D$168,$C136,$F$19:$F$168,"&lt;&gt;"&amp;$F136)</f>
        <v>127912420.9533768</v>
      </c>
      <c r="AB136" s="182">
        <f>VLOOKUP($H136,'Cost Drivers'!$A$2:$R$66,12,FALSE)</f>
        <v>12582</v>
      </c>
      <c r="AC136" s="264">
        <f>AA136/AB136</f>
        <v>10166.30273035899</v>
      </c>
      <c r="AD136" s="256">
        <f>SUMIFS(AD$19:AD$168, $B$19:$B$168,$B136,$D$19:$D$168,$C136,$F$19:$F$168,"&lt;&gt;"&amp;$F136)</f>
        <v>159519998.43367791</v>
      </c>
      <c r="AE136" s="182">
        <f>VLOOKUP($H136,'Cost Drivers'!$A$2:$R$66,14,FALSE)</f>
        <v>15692</v>
      </c>
      <c r="AF136" s="264">
        <f>AD136/AE136</f>
        <v>10165.689423507387</v>
      </c>
      <c r="AG136" s="256">
        <f>SUMIFS(AG$19:AG$168, $B$19:$B$168,$B136,$D$19:$D$168,$C136,$F$19:$F$168,"&lt;&gt;"&amp;$F136)</f>
        <v>135792214.72703409</v>
      </c>
      <c r="AH136" s="182">
        <f>VLOOKUP($H136,'Cost Drivers'!$A$2:$R$66,16,FALSE)</f>
        <v>13359</v>
      </c>
      <c r="AI136" s="264">
        <f>AG136/AH136</f>
        <v>10164.848770644066</v>
      </c>
      <c r="AJ136" s="256">
        <f>SUMIFS(AJ$19:AJ$168, $B$19:$B$168,$B136,$D$19:$D$168,$C136,$F$19:$F$168,"&lt;&gt;"&amp;$F136)</f>
        <v>199044262.25493795</v>
      </c>
      <c r="AK136" s="182">
        <f>VLOOKUP($H136,'Cost Drivers'!$A$2:$R$66,18,FALSE)</f>
        <v>19580</v>
      </c>
      <c r="AL136" s="264">
        <f>AJ136/AK136</f>
        <v>10165.692658577014</v>
      </c>
      <c r="AM136" s="256">
        <f>SUMIFS(AM$19:AM$168, $B$19:$B$168,$B136,$D$19:$D$168,$C136,$F$19:$F$168,"&lt;&gt;"&amp;$F136)</f>
        <v>119995734.61241788</v>
      </c>
      <c r="AN136" s="182">
        <f>VLOOKUP($H136,'Cost Drivers'!$A$3:$V$67,20,FALSE)</f>
        <v>11804</v>
      </c>
      <c r="AO136" s="264">
        <f>AM136/AN136</f>
        <v>10165.684057304125</v>
      </c>
      <c r="AP136" s="256">
        <f>SUMIFS(AP$19:AP$168, $B$19:$B$168,$B136,$D$19:$D$168,$C136,$F$19:$F$168,"&lt;&gt;"&amp;$F136)</f>
        <v>119995734.61241788</v>
      </c>
      <c r="AQ136" s="182">
        <f>VLOOKUP($H136,'Cost Drivers'!$A$3:$V$67,22,FALSE)</f>
        <v>11804</v>
      </c>
      <c r="AR136" s="264">
        <f>AP136/AQ136</f>
        <v>10165.684057304125</v>
      </c>
    </row>
    <row r="137" spans="1:44" outlineLevel="1" x14ac:dyDescent="0.25">
      <c r="B137" s="260" t="s">
        <v>332</v>
      </c>
      <c r="C137" s="261" t="s">
        <v>239</v>
      </c>
      <c r="D137" s="182">
        <f t="shared" si="141"/>
        <v>1000</v>
      </c>
      <c r="E137" s="262" t="s">
        <v>334</v>
      </c>
      <c r="F137" s="262" t="s">
        <v>175</v>
      </c>
      <c r="G137" s="287">
        <v>74892048.273333326</v>
      </c>
      <c r="H137" s="180" t="s">
        <v>368</v>
      </c>
      <c r="I137" s="150">
        <v>0</v>
      </c>
      <c r="J137" s="255">
        <f t="shared" si="205"/>
        <v>1</v>
      </c>
      <c r="K137" s="263">
        <f>G137*I137</f>
        <v>0</v>
      </c>
      <c r="L137" s="257">
        <f t="shared" si="206"/>
        <v>74892048.273333326</v>
      </c>
      <c r="M137" s="462">
        <f>VLOOKUP($H137,'Cost Drivers'!$A$2:$R$66,2,FALSE)</f>
        <v>9779.5000000000018</v>
      </c>
      <c r="N137" s="258">
        <f t="shared" si="207"/>
        <v>7658.0651642040302</v>
      </c>
      <c r="O137" s="187">
        <f>P137*Q137</f>
        <v>76121167.732188061</v>
      </c>
      <c r="P137" s="480">
        <f>VLOOKUP($H137,'Cost Drivers'!$A$2:$R$66,4,FALSE)</f>
        <v>9940</v>
      </c>
      <c r="Q137" s="264">
        <f>$N137</f>
        <v>7658.0651642040302</v>
      </c>
      <c r="R137" s="187">
        <f>S137*T137</f>
        <v>81060619.763099656</v>
      </c>
      <c r="S137" s="182">
        <f>VLOOKUP($H137,'Cost Drivers'!$A$2:$R$66,6,FALSE)</f>
        <v>10585</v>
      </c>
      <c r="T137" s="264">
        <f>$N137</f>
        <v>7658.0651642040302</v>
      </c>
      <c r="U137" s="187">
        <f>V137*W137</f>
        <v>77361774.288789108</v>
      </c>
      <c r="V137" s="182">
        <f>VLOOKUP($H137,'Cost Drivers'!$A$2:$R$66,8,FALSE)</f>
        <v>10102</v>
      </c>
      <c r="W137" s="264">
        <f>$N137</f>
        <v>7658.0651642040302</v>
      </c>
      <c r="X137" s="187">
        <f>Y137*Z137</f>
        <v>87217704.155119702</v>
      </c>
      <c r="Y137" s="182">
        <f>VLOOKUP($H137,'Cost Drivers'!$A$2:$R$66,10,FALSE)</f>
        <v>11389</v>
      </c>
      <c r="Z137" s="264">
        <f>$N137</f>
        <v>7658.0651642040302</v>
      </c>
      <c r="AA137" s="187">
        <f>AB137*AC137</f>
        <v>79820013.206498608</v>
      </c>
      <c r="AB137" s="182">
        <f>VLOOKUP($H137,'Cost Drivers'!$A$2:$R$66,12,FALSE)</f>
        <v>10423</v>
      </c>
      <c r="AC137" s="264">
        <f>$N137</f>
        <v>7658.0651642040302</v>
      </c>
      <c r="AD137" s="187">
        <f>AE137*AF137</f>
        <v>99554847.134652391</v>
      </c>
      <c r="AE137" s="182">
        <f>VLOOKUP($H137,'Cost Drivers'!$A$2:$R$66,14,FALSE)</f>
        <v>13000</v>
      </c>
      <c r="AF137" s="264">
        <f>$N137</f>
        <v>7658.0651642040302</v>
      </c>
      <c r="AG137" s="187">
        <f>AH137*AI137</f>
        <v>84759465.237410203</v>
      </c>
      <c r="AH137" s="182">
        <f>VLOOKUP($H137,'Cost Drivers'!$A$2:$R$66,16,FALSE)</f>
        <v>11068</v>
      </c>
      <c r="AI137" s="264">
        <f>$N137</f>
        <v>7658.0651642040302</v>
      </c>
      <c r="AJ137" s="187">
        <f>AK137*AL137</f>
        <v>124221475.02855358</v>
      </c>
      <c r="AK137" s="182">
        <f>VLOOKUP($H137,'Cost Drivers'!$A$2:$R$66,18,FALSE)</f>
        <v>16221</v>
      </c>
      <c r="AL137" s="264">
        <f>$N137</f>
        <v>7658.0651642040302</v>
      </c>
      <c r="AM137" s="187">
        <f>AN137*AO137</f>
        <v>74888219.240751207</v>
      </c>
      <c r="AN137" s="182">
        <f>VLOOKUP($H137,'Cost Drivers'!$A$3:$V$67,20,FALSE)</f>
        <v>9779</v>
      </c>
      <c r="AO137" s="264">
        <f>$N137</f>
        <v>7658.0651642040302</v>
      </c>
      <c r="AP137" s="187">
        <f>AQ137*AR137</f>
        <v>74888219.240751207</v>
      </c>
      <c r="AQ137" s="182">
        <f>VLOOKUP($H137,'Cost Drivers'!$A$3:$V$67,22,FALSE)</f>
        <v>9779</v>
      </c>
      <c r="AR137" s="264">
        <f>$N137</f>
        <v>7658.0651642040302</v>
      </c>
    </row>
    <row r="138" spans="1:44" outlineLevel="1" x14ac:dyDescent="0.25">
      <c r="B138" s="260" t="s">
        <v>332</v>
      </c>
      <c r="C138" s="261" t="s">
        <v>240</v>
      </c>
      <c r="D138" s="182">
        <f t="shared" si="141"/>
        <v>1000</v>
      </c>
      <c r="E138" s="262" t="s">
        <v>334</v>
      </c>
      <c r="F138" s="262" t="s">
        <v>193</v>
      </c>
      <c r="G138" s="287">
        <v>45107515.37166667</v>
      </c>
      <c r="H138" s="180" t="s">
        <v>369</v>
      </c>
      <c r="I138" s="135">
        <v>0</v>
      </c>
      <c r="J138" s="255">
        <f t="shared" si="205"/>
        <v>1</v>
      </c>
      <c r="K138" s="263">
        <f t="shared" ref="K138:K144" si="220">G138*I138</f>
        <v>0</v>
      </c>
      <c r="L138" s="257">
        <f t="shared" si="206"/>
        <v>45107515.37166667</v>
      </c>
      <c r="M138" s="462">
        <f>VLOOKUP($H138,'Cost Drivers'!$A$2:$R$66,2,FALSE)</f>
        <v>2025</v>
      </c>
      <c r="N138" s="258">
        <f t="shared" si="207"/>
        <v>22275.316232921814</v>
      </c>
      <c r="O138" s="187">
        <f>P138*Q138</f>
        <v>45864876.123586014</v>
      </c>
      <c r="P138" s="480">
        <f>VLOOKUP($H138,'Cost Drivers'!$A$2:$R$66,4,FALSE)</f>
        <v>2059</v>
      </c>
      <c r="Q138" s="264">
        <f>$N138</f>
        <v>22275.316232921814</v>
      </c>
      <c r="R138" s="187">
        <f>S138*T138</f>
        <v>48805217.866331697</v>
      </c>
      <c r="S138" s="182">
        <f>VLOOKUP($H138,'Cost Drivers'!$A$2:$R$66,6,FALSE)</f>
        <v>2191</v>
      </c>
      <c r="T138" s="264">
        <f>$N138</f>
        <v>22275.316232921814</v>
      </c>
      <c r="U138" s="187">
        <f>V138*W138</f>
        <v>46577686.243039511</v>
      </c>
      <c r="V138" s="182">
        <f>VLOOKUP($H138,'Cost Drivers'!$A$2:$R$66,8,FALSE)</f>
        <v>2091</v>
      </c>
      <c r="W138" s="264">
        <f>$N138</f>
        <v>22275.316232921814</v>
      </c>
      <c r="X138" s="187">
        <f>Y138*Z138</f>
        <v>52547470.993462563</v>
      </c>
      <c r="Y138" s="182">
        <f>VLOOKUP($H138,'Cost Drivers'!$A$2:$R$66,10,FALSE)</f>
        <v>2359</v>
      </c>
      <c r="Z138" s="264">
        <f>$N138</f>
        <v>22275.316232921814</v>
      </c>
      <c r="AA138" s="187">
        <f>AB138*AC138</f>
        <v>48092407.746878199</v>
      </c>
      <c r="AB138" s="182">
        <f>VLOOKUP($H138,'Cost Drivers'!$A$2:$R$66,12,FALSE)</f>
        <v>2159</v>
      </c>
      <c r="AC138" s="264">
        <f>$N138</f>
        <v>22275.316232921814</v>
      </c>
      <c r="AD138" s="187">
        <f>AE138*AF138</f>
        <v>59965151.299025521</v>
      </c>
      <c r="AE138" s="182">
        <f>VLOOKUP($H138,'Cost Drivers'!$A$2:$R$66,14,FALSE)</f>
        <v>2692</v>
      </c>
      <c r="AF138" s="264">
        <f>$N138</f>
        <v>22275.316232921814</v>
      </c>
      <c r="AG138" s="187">
        <f>AH138*AI138</f>
        <v>51032749.489623874</v>
      </c>
      <c r="AH138" s="182">
        <f>VLOOKUP($H138,'Cost Drivers'!$A$2:$R$66,16,FALSE)</f>
        <v>2291</v>
      </c>
      <c r="AI138" s="264">
        <f>$N138</f>
        <v>22275.316232921814</v>
      </c>
      <c r="AJ138" s="187">
        <f>AK138*AL138</f>
        <v>74822787.226384372</v>
      </c>
      <c r="AK138" s="182">
        <f>VLOOKUP($H138,'Cost Drivers'!$A$2:$R$66,18,FALSE)</f>
        <v>3359</v>
      </c>
      <c r="AL138" s="264">
        <f>$N138</f>
        <v>22275.316232921814</v>
      </c>
      <c r="AM138" s="187">
        <f>AN138*AO138</f>
        <v>45107515.37166667</v>
      </c>
      <c r="AN138" s="182">
        <f>VLOOKUP($H138,'Cost Drivers'!$A$3:$V$67,20,FALSE)</f>
        <v>2025</v>
      </c>
      <c r="AO138" s="264">
        <f>$N138</f>
        <v>22275.316232921814</v>
      </c>
      <c r="AP138" s="187">
        <f>AQ138*AR138</f>
        <v>45107515.37166667</v>
      </c>
      <c r="AQ138" s="182">
        <f>VLOOKUP($H138,'Cost Drivers'!$A$3:$V$67,22,FALSE)</f>
        <v>2025</v>
      </c>
      <c r="AR138" s="264">
        <f>$N138</f>
        <v>22275.316232921814</v>
      </c>
    </row>
    <row r="139" spans="1:44" outlineLevel="1" x14ac:dyDescent="0.25">
      <c r="B139" s="260" t="s">
        <v>332</v>
      </c>
      <c r="C139" s="261" t="s">
        <v>241</v>
      </c>
      <c r="D139" s="182">
        <f t="shared" si="141"/>
        <v>1000</v>
      </c>
      <c r="E139" s="262" t="s">
        <v>334</v>
      </c>
      <c r="F139" s="262" t="s">
        <v>197</v>
      </c>
      <c r="G139" s="287">
        <v>0</v>
      </c>
      <c r="H139" s="180" t="s">
        <v>93</v>
      </c>
      <c r="I139" s="135">
        <v>0</v>
      </c>
      <c r="J139" s="255">
        <f t="shared" si="205"/>
        <v>1</v>
      </c>
      <c r="K139" s="263">
        <f t="shared" si="220"/>
        <v>0</v>
      </c>
      <c r="L139" s="257">
        <f t="shared" si="206"/>
        <v>0</v>
      </c>
      <c r="M139" s="462">
        <f>VLOOKUP($H139,'Cost Drivers'!$A$2:$R$66,2,FALSE)</f>
        <v>1</v>
      </c>
      <c r="N139" s="258">
        <f t="shared" si="207"/>
        <v>0</v>
      </c>
      <c r="O139" s="187">
        <f>P139*Q139</f>
        <v>0</v>
      </c>
      <c r="P139" s="480">
        <f>VLOOKUP($H139,'Cost Drivers'!$A$2:$R$66,4,FALSE)</f>
        <v>1</v>
      </c>
      <c r="Q139" s="264">
        <f>$N139</f>
        <v>0</v>
      </c>
      <c r="R139" s="187">
        <f>S139*T139</f>
        <v>0</v>
      </c>
      <c r="S139" s="182">
        <f>VLOOKUP($H139,'Cost Drivers'!$A$2:$R$66,6,FALSE)</f>
        <v>1</v>
      </c>
      <c r="T139" s="264">
        <f>$N139</f>
        <v>0</v>
      </c>
      <c r="U139" s="187">
        <f>V139*W139</f>
        <v>0</v>
      </c>
      <c r="V139" s="182">
        <f>VLOOKUP($H139,'Cost Drivers'!$A$2:$R$66,8,FALSE)</f>
        <v>1</v>
      </c>
      <c r="W139" s="264">
        <f>$N139</f>
        <v>0</v>
      </c>
      <c r="X139" s="187">
        <f>Y139*Z139</f>
        <v>0</v>
      </c>
      <c r="Y139" s="182">
        <f>VLOOKUP($H139,'Cost Drivers'!$A$2:$R$66,10,FALSE)</f>
        <v>1</v>
      </c>
      <c r="Z139" s="264">
        <f>$N139</f>
        <v>0</v>
      </c>
      <c r="AA139" s="187">
        <f>AB139*AC139</f>
        <v>0</v>
      </c>
      <c r="AB139" s="182">
        <f>VLOOKUP($H139,'Cost Drivers'!$A$2:$R$66,12,FALSE)</f>
        <v>1</v>
      </c>
      <c r="AC139" s="264">
        <f>$N139</f>
        <v>0</v>
      </c>
      <c r="AD139" s="187">
        <f>AE139*AF139</f>
        <v>0</v>
      </c>
      <c r="AE139" s="182">
        <f>VLOOKUP($H139,'Cost Drivers'!$A$2:$R$66,14,FALSE)</f>
        <v>1</v>
      </c>
      <c r="AF139" s="264">
        <f>$N139</f>
        <v>0</v>
      </c>
      <c r="AG139" s="187">
        <f>AH139*AI139</f>
        <v>0</v>
      </c>
      <c r="AH139" s="182">
        <f>VLOOKUP($H139,'Cost Drivers'!$A$2:$R$66,16,FALSE)</f>
        <v>1</v>
      </c>
      <c r="AI139" s="264">
        <f>$N139</f>
        <v>0</v>
      </c>
      <c r="AJ139" s="187">
        <f>AK139*AL139</f>
        <v>0</v>
      </c>
      <c r="AK139" s="182">
        <f>VLOOKUP($H139,'Cost Drivers'!$A$2:$R$66,18,FALSE)</f>
        <v>1</v>
      </c>
      <c r="AL139" s="264">
        <f>$N139</f>
        <v>0</v>
      </c>
      <c r="AM139" s="187">
        <f>AN139*AO139</f>
        <v>0</v>
      </c>
      <c r="AN139" s="182">
        <f>VLOOKUP($H139,'Cost Drivers'!$A$3:$V$67,20,FALSE)</f>
        <v>1</v>
      </c>
      <c r="AO139" s="264">
        <f>$N139</f>
        <v>0</v>
      </c>
      <c r="AP139" s="187">
        <f>AQ139*AR139</f>
        <v>0</v>
      </c>
      <c r="AQ139" s="182">
        <f>VLOOKUP($H139,'Cost Drivers'!$A$3:$V$67,22,FALSE)</f>
        <v>1</v>
      </c>
      <c r="AR139" s="264">
        <f>$N139</f>
        <v>0</v>
      </c>
    </row>
    <row r="140" spans="1:44" outlineLevel="1" x14ac:dyDescent="0.25">
      <c r="B140" s="260" t="s">
        <v>332</v>
      </c>
      <c r="C140" s="261" t="s">
        <v>232</v>
      </c>
      <c r="D140" s="182">
        <f t="shared" si="141"/>
        <v>1000</v>
      </c>
      <c r="E140" s="262" t="s">
        <v>334</v>
      </c>
      <c r="F140" s="262" t="s">
        <v>233</v>
      </c>
      <c r="G140" s="287">
        <v>0</v>
      </c>
      <c r="H140" s="180" t="s">
        <v>93</v>
      </c>
      <c r="I140" s="135">
        <v>0</v>
      </c>
      <c r="J140" s="255">
        <f t="shared" si="205"/>
        <v>1</v>
      </c>
      <c r="K140" s="263">
        <f t="shared" si="220"/>
        <v>0</v>
      </c>
      <c r="L140" s="257">
        <f t="shared" si="206"/>
        <v>0</v>
      </c>
      <c r="M140" s="462">
        <f>VLOOKUP($H140,'Cost Drivers'!$A$2:$R$66,2,FALSE)</f>
        <v>1</v>
      </c>
      <c r="N140" s="258">
        <f t="shared" si="207"/>
        <v>0</v>
      </c>
      <c r="O140" s="187">
        <f>P140*Q140</f>
        <v>0</v>
      </c>
      <c r="P140" s="480">
        <f>VLOOKUP($H140,'Cost Drivers'!$A$2:$R$66,4,FALSE)</f>
        <v>1</v>
      </c>
      <c r="Q140" s="264">
        <f>$N140</f>
        <v>0</v>
      </c>
      <c r="R140" s="187">
        <f>S140*T140</f>
        <v>0</v>
      </c>
      <c r="S140" s="182">
        <f>VLOOKUP($H140,'Cost Drivers'!$A$2:$R$66,6,FALSE)</f>
        <v>1</v>
      </c>
      <c r="T140" s="264">
        <f>$N140</f>
        <v>0</v>
      </c>
      <c r="U140" s="187">
        <f>V140*W140</f>
        <v>0</v>
      </c>
      <c r="V140" s="182">
        <f>VLOOKUP($H140,'Cost Drivers'!$A$2:$R$66,8,FALSE)</f>
        <v>1</v>
      </c>
      <c r="W140" s="264">
        <f>$N140</f>
        <v>0</v>
      </c>
      <c r="X140" s="187">
        <f>Y140*Z140</f>
        <v>0</v>
      </c>
      <c r="Y140" s="182">
        <f>VLOOKUP($H140,'Cost Drivers'!$A$2:$R$66,10,FALSE)</f>
        <v>1</v>
      </c>
      <c r="Z140" s="264">
        <f>$N140</f>
        <v>0</v>
      </c>
      <c r="AA140" s="187">
        <f>AB140*AC140</f>
        <v>0</v>
      </c>
      <c r="AB140" s="182">
        <f>VLOOKUP($H140,'Cost Drivers'!$A$2:$R$66,12,FALSE)</f>
        <v>1</v>
      </c>
      <c r="AC140" s="264">
        <f>$N140</f>
        <v>0</v>
      </c>
      <c r="AD140" s="187">
        <f>AE140*AF140</f>
        <v>0</v>
      </c>
      <c r="AE140" s="182">
        <f>VLOOKUP($H140,'Cost Drivers'!$A$2:$R$66,14,FALSE)</f>
        <v>1</v>
      </c>
      <c r="AF140" s="264">
        <f>$N140</f>
        <v>0</v>
      </c>
      <c r="AG140" s="187">
        <f>AH140*AI140</f>
        <v>0</v>
      </c>
      <c r="AH140" s="182">
        <f>VLOOKUP($H140,'Cost Drivers'!$A$2:$R$66,16,FALSE)</f>
        <v>1</v>
      </c>
      <c r="AI140" s="264">
        <f>$N140</f>
        <v>0</v>
      </c>
      <c r="AJ140" s="187">
        <f>AK140*AL140</f>
        <v>0</v>
      </c>
      <c r="AK140" s="182">
        <f>VLOOKUP($H140,'Cost Drivers'!$A$2:$R$66,18,FALSE)</f>
        <v>1</v>
      </c>
      <c r="AL140" s="264">
        <f>$N140</f>
        <v>0</v>
      </c>
      <c r="AM140" s="187">
        <f>AN140*AO140</f>
        <v>0</v>
      </c>
      <c r="AN140" s="182">
        <f>VLOOKUP($H140,'Cost Drivers'!$A$3:$V$67,20,FALSE)</f>
        <v>1</v>
      </c>
      <c r="AO140" s="264">
        <f>$N140</f>
        <v>0</v>
      </c>
      <c r="AP140" s="187">
        <f>AQ140*AR140</f>
        <v>0</v>
      </c>
      <c r="AQ140" s="182">
        <f>VLOOKUP($H140,'Cost Drivers'!$A$3:$V$67,22,FALSE)</f>
        <v>1</v>
      </c>
      <c r="AR140" s="264">
        <f>$N140</f>
        <v>0</v>
      </c>
    </row>
    <row r="141" spans="1:44" outlineLevel="1" x14ac:dyDescent="0.25">
      <c r="B141" s="250" t="s">
        <v>332</v>
      </c>
      <c r="C141" s="251" t="s">
        <v>242</v>
      </c>
      <c r="D141" s="182">
        <f t="shared" si="141"/>
        <v>2000</v>
      </c>
      <c r="E141" s="252" t="s">
        <v>334</v>
      </c>
      <c r="F141" s="252" t="s">
        <v>237</v>
      </c>
      <c r="G141" s="287">
        <v>0</v>
      </c>
      <c r="H141" s="180" t="s">
        <v>93</v>
      </c>
      <c r="I141" s="135">
        <v>0</v>
      </c>
      <c r="J141" s="255">
        <f t="shared" si="205"/>
        <v>1</v>
      </c>
      <c r="K141" s="256">
        <f t="shared" si="220"/>
        <v>0</v>
      </c>
      <c r="L141" s="257">
        <f t="shared" si="206"/>
        <v>0</v>
      </c>
      <c r="M141" s="462">
        <f>VLOOKUP($H141,'Cost Drivers'!$A$2:$R$66,2,FALSE)</f>
        <v>1</v>
      </c>
      <c r="N141" s="258">
        <f t="shared" si="207"/>
        <v>0</v>
      </c>
      <c r="O141" s="256">
        <f t="shared" ref="O141:O143" si="221">P141*Q141</f>
        <v>0</v>
      </c>
      <c r="P141" s="480">
        <f>VLOOKUP($H141,'Cost Drivers'!$A$2:$R$66,4,FALSE)</f>
        <v>1</v>
      </c>
      <c r="Q141" s="264">
        <f t="shared" ref="Q141:Q143" si="222">$N141</f>
        <v>0</v>
      </c>
      <c r="R141" s="256">
        <f t="shared" ref="R141:R143" si="223">S141*T141</f>
        <v>0</v>
      </c>
      <c r="S141" s="182">
        <f>VLOOKUP($H141,'Cost Drivers'!$A$2:$R$66,6,FALSE)</f>
        <v>1</v>
      </c>
      <c r="T141" s="264">
        <f t="shared" ref="T141:T143" si="224">$N141</f>
        <v>0</v>
      </c>
      <c r="U141" s="256">
        <f t="shared" ref="U141:U143" si="225">V141*W141</f>
        <v>0</v>
      </c>
      <c r="V141" s="182">
        <f>VLOOKUP($H141,'Cost Drivers'!$A$2:$R$66,8,FALSE)</f>
        <v>1</v>
      </c>
      <c r="W141" s="264">
        <f t="shared" ref="W141:W143" si="226">$N141</f>
        <v>0</v>
      </c>
      <c r="X141" s="256">
        <f t="shared" ref="X141:X143" si="227">Y141*Z141</f>
        <v>0</v>
      </c>
      <c r="Y141" s="182">
        <f>VLOOKUP($H141,'Cost Drivers'!$A$2:$R$66,10,FALSE)</f>
        <v>1</v>
      </c>
      <c r="Z141" s="264">
        <f t="shared" ref="Z141:Z143" si="228">$N141</f>
        <v>0</v>
      </c>
      <c r="AA141" s="256">
        <f t="shared" ref="AA141:AA143" si="229">AB141*AC141</f>
        <v>0</v>
      </c>
      <c r="AB141" s="182">
        <f>VLOOKUP($H141,'Cost Drivers'!$A$2:$R$66,12,FALSE)</f>
        <v>1</v>
      </c>
      <c r="AC141" s="264">
        <f t="shared" ref="AC141:AC143" si="230">$N141</f>
        <v>0</v>
      </c>
      <c r="AD141" s="256">
        <f t="shared" ref="AD141:AD143" si="231">AE141*AF141</f>
        <v>0</v>
      </c>
      <c r="AE141" s="182">
        <f>VLOOKUP($H141,'Cost Drivers'!$A$2:$R$66,14,FALSE)</f>
        <v>1</v>
      </c>
      <c r="AF141" s="264">
        <f t="shared" ref="AF141:AF143" si="232">$N141</f>
        <v>0</v>
      </c>
      <c r="AG141" s="256">
        <f t="shared" ref="AG141:AG143" si="233">AH141*AI141</f>
        <v>0</v>
      </c>
      <c r="AH141" s="182">
        <f>VLOOKUP($H141,'Cost Drivers'!$A$2:$R$66,16,FALSE)</f>
        <v>1</v>
      </c>
      <c r="AI141" s="264">
        <f t="shared" ref="AI141:AI143" si="234">$N141</f>
        <v>0</v>
      </c>
      <c r="AJ141" s="256">
        <f t="shared" ref="AJ141:AJ143" si="235">AK141*AL141</f>
        <v>0</v>
      </c>
      <c r="AK141" s="182">
        <f>VLOOKUP($H141,'Cost Drivers'!$A$2:$R$66,18,FALSE)</f>
        <v>1</v>
      </c>
      <c r="AL141" s="264">
        <f t="shared" ref="AL141:AL143" si="236">$N141</f>
        <v>0</v>
      </c>
      <c r="AM141" s="256">
        <f t="shared" ref="AM141:AM143" si="237">AN141*AO141</f>
        <v>0</v>
      </c>
      <c r="AN141" s="182">
        <f>VLOOKUP($H141,'Cost Drivers'!$A$3:$V$67,20,FALSE)</f>
        <v>1</v>
      </c>
      <c r="AO141" s="264">
        <f t="shared" ref="AO141:AO143" si="238">$N141</f>
        <v>0</v>
      </c>
      <c r="AP141" s="256">
        <f t="shared" ref="AP141:AP143" si="239">AQ141*AR141</f>
        <v>0</v>
      </c>
      <c r="AQ141" s="182">
        <f>VLOOKUP($H141,'Cost Drivers'!$A$3:$V$67,22,FALSE)</f>
        <v>1</v>
      </c>
      <c r="AR141" s="264">
        <f t="shared" ref="AR141:AR143" si="240">$N141</f>
        <v>0</v>
      </c>
    </row>
    <row r="142" spans="1:44" ht="27" outlineLevel="1" x14ac:dyDescent="0.25">
      <c r="B142" s="250" t="s">
        <v>332</v>
      </c>
      <c r="C142" s="251" t="s">
        <v>252</v>
      </c>
      <c r="D142" s="182">
        <f t="shared" si="141"/>
        <v>3000</v>
      </c>
      <c r="E142" s="252" t="s">
        <v>334</v>
      </c>
      <c r="F142" s="252" t="s">
        <v>269</v>
      </c>
      <c r="G142" s="287">
        <v>0</v>
      </c>
      <c r="H142" s="180" t="s">
        <v>93</v>
      </c>
      <c r="I142" s="135">
        <v>0</v>
      </c>
      <c r="J142" s="255">
        <f t="shared" si="205"/>
        <v>1</v>
      </c>
      <c r="K142" s="256">
        <f t="shared" si="220"/>
        <v>0</v>
      </c>
      <c r="L142" s="257">
        <f t="shared" si="206"/>
        <v>0</v>
      </c>
      <c r="M142" s="462">
        <f>VLOOKUP($H142,'Cost Drivers'!$A$2:$R$66,2,FALSE)</f>
        <v>1</v>
      </c>
      <c r="N142" s="258">
        <f t="shared" si="207"/>
        <v>0</v>
      </c>
      <c r="O142" s="256">
        <f t="shared" si="221"/>
        <v>0</v>
      </c>
      <c r="P142" s="480">
        <f>VLOOKUP($H142,'Cost Drivers'!$A$2:$R$66,4,FALSE)</f>
        <v>1</v>
      </c>
      <c r="Q142" s="264">
        <f t="shared" si="222"/>
        <v>0</v>
      </c>
      <c r="R142" s="256">
        <f t="shared" si="223"/>
        <v>0</v>
      </c>
      <c r="S142" s="182">
        <f>VLOOKUP($H142,'Cost Drivers'!$A$2:$R$66,6,FALSE)</f>
        <v>1</v>
      </c>
      <c r="T142" s="264">
        <f t="shared" si="224"/>
        <v>0</v>
      </c>
      <c r="U142" s="256">
        <f t="shared" si="225"/>
        <v>0</v>
      </c>
      <c r="V142" s="182">
        <f>VLOOKUP($H142,'Cost Drivers'!$A$2:$R$66,8,FALSE)</f>
        <v>1</v>
      </c>
      <c r="W142" s="264">
        <f t="shared" si="226"/>
        <v>0</v>
      </c>
      <c r="X142" s="256">
        <f t="shared" si="227"/>
        <v>0</v>
      </c>
      <c r="Y142" s="182">
        <f>VLOOKUP($H142,'Cost Drivers'!$A$2:$R$66,10,FALSE)</f>
        <v>1</v>
      </c>
      <c r="Z142" s="264">
        <f t="shared" si="228"/>
        <v>0</v>
      </c>
      <c r="AA142" s="256">
        <f t="shared" si="229"/>
        <v>0</v>
      </c>
      <c r="AB142" s="182">
        <f>VLOOKUP($H142,'Cost Drivers'!$A$2:$R$66,12,FALSE)</f>
        <v>1</v>
      </c>
      <c r="AC142" s="264">
        <f t="shared" si="230"/>
        <v>0</v>
      </c>
      <c r="AD142" s="256">
        <f t="shared" si="231"/>
        <v>0</v>
      </c>
      <c r="AE142" s="182">
        <f>VLOOKUP($H142,'Cost Drivers'!$A$2:$R$66,14,FALSE)</f>
        <v>1</v>
      </c>
      <c r="AF142" s="264">
        <f t="shared" si="232"/>
        <v>0</v>
      </c>
      <c r="AG142" s="256">
        <f t="shared" si="233"/>
        <v>0</v>
      </c>
      <c r="AH142" s="182">
        <f>VLOOKUP($H142,'Cost Drivers'!$A$2:$R$66,16,FALSE)</f>
        <v>1</v>
      </c>
      <c r="AI142" s="264">
        <f t="shared" si="234"/>
        <v>0</v>
      </c>
      <c r="AJ142" s="256">
        <f t="shared" si="235"/>
        <v>0</v>
      </c>
      <c r="AK142" s="182">
        <f>VLOOKUP($H142,'Cost Drivers'!$A$2:$R$66,18,FALSE)</f>
        <v>1</v>
      </c>
      <c r="AL142" s="264">
        <f t="shared" si="236"/>
        <v>0</v>
      </c>
      <c r="AM142" s="256">
        <f t="shared" si="237"/>
        <v>0</v>
      </c>
      <c r="AN142" s="182">
        <f>VLOOKUP($H142,'Cost Drivers'!$A$3:$V$67,20,FALSE)</f>
        <v>1</v>
      </c>
      <c r="AO142" s="264">
        <f t="shared" si="238"/>
        <v>0</v>
      </c>
      <c r="AP142" s="256">
        <f t="shared" si="239"/>
        <v>0</v>
      </c>
      <c r="AQ142" s="182">
        <f>VLOOKUP($H142,'Cost Drivers'!$A$3:$V$67,22,FALSE)</f>
        <v>1</v>
      </c>
      <c r="AR142" s="264">
        <f t="shared" si="240"/>
        <v>0</v>
      </c>
    </row>
    <row r="143" spans="1:44" outlineLevel="1" x14ac:dyDescent="0.25">
      <c r="B143" s="250" t="s">
        <v>332</v>
      </c>
      <c r="C143" s="251" t="s">
        <v>257</v>
      </c>
      <c r="D143" s="182">
        <f t="shared" si="141"/>
        <v>4000</v>
      </c>
      <c r="E143" s="252" t="s">
        <v>334</v>
      </c>
      <c r="F143" s="252" t="s">
        <v>211</v>
      </c>
      <c r="G143" s="287">
        <v>0</v>
      </c>
      <c r="H143" s="180" t="s">
        <v>93</v>
      </c>
      <c r="I143" s="135">
        <v>0</v>
      </c>
      <c r="J143" s="255">
        <f t="shared" si="205"/>
        <v>1</v>
      </c>
      <c r="K143" s="256">
        <f t="shared" si="220"/>
        <v>0</v>
      </c>
      <c r="L143" s="257">
        <f t="shared" si="206"/>
        <v>0</v>
      </c>
      <c r="M143" s="462">
        <f>VLOOKUP($H143,'Cost Drivers'!$A$2:$R$66,2,FALSE)</f>
        <v>1</v>
      </c>
      <c r="N143" s="258">
        <f t="shared" si="207"/>
        <v>0</v>
      </c>
      <c r="O143" s="256">
        <f t="shared" si="221"/>
        <v>0</v>
      </c>
      <c r="P143" s="480">
        <f>VLOOKUP($H143,'Cost Drivers'!$A$2:$R$66,4,FALSE)</f>
        <v>1</v>
      </c>
      <c r="Q143" s="264">
        <f t="shared" si="222"/>
        <v>0</v>
      </c>
      <c r="R143" s="256">
        <f t="shared" si="223"/>
        <v>0</v>
      </c>
      <c r="S143" s="182">
        <f>VLOOKUP($H143,'Cost Drivers'!$A$2:$R$66,6,FALSE)</f>
        <v>1</v>
      </c>
      <c r="T143" s="264">
        <f t="shared" si="224"/>
        <v>0</v>
      </c>
      <c r="U143" s="256">
        <f t="shared" si="225"/>
        <v>0</v>
      </c>
      <c r="V143" s="182">
        <f>VLOOKUP($H143,'Cost Drivers'!$A$2:$R$66,8,FALSE)</f>
        <v>1</v>
      </c>
      <c r="W143" s="264">
        <f t="shared" si="226"/>
        <v>0</v>
      </c>
      <c r="X143" s="256">
        <f t="shared" si="227"/>
        <v>0</v>
      </c>
      <c r="Y143" s="182">
        <f>VLOOKUP($H143,'Cost Drivers'!$A$2:$R$66,10,FALSE)</f>
        <v>1</v>
      </c>
      <c r="Z143" s="264">
        <f t="shared" si="228"/>
        <v>0</v>
      </c>
      <c r="AA143" s="256">
        <f t="shared" si="229"/>
        <v>0</v>
      </c>
      <c r="AB143" s="182">
        <f>VLOOKUP($H143,'Cost Drivers'!$A$2:$R$66,12,FALSE)</f>
        <v>1</v>
      </c>
      <c r="AC143" s="264">
        <f t="shared" si="230"/>
        <v>0</v>
      </c>
      <c r="AD143" s="256">
        <f t="shared" si="231"/>
        <v>0</v>
      </c>
      <c r="AE143" s="182">
        <f>VLOOKUP($H143,'Cost Drivers'!$A$2:$R$66,14,FALSE)</f>
        <v>1</v>
      </c>
      <c r="AF143" s="264">
        <f t="shared" si="232"/>
        <v>0</v>
      </c>
      <c r="AG143" s="256">
        <f t="shared" si="233"/>
        <v>0</v>
      </c>
      <c r="AH143" s="182">
        <f>VLOOKUP($H143,'Cost Drivers'!$A$2:$R$66,16,FALSE)</f>
        <v>1</v>
      </c>
      <c r="AI143" s="264">
        <f t="shared" si="234"/>
        <v>0</v>
      </c>
      <c r="AJ143" s="256">
        <f t="shared" si="235"/>
        <v>0</v>
      </c>
      <c r="AK143" s="182">
        <f>VLOOKUP($H143,'Cost Drivers'!$A$2:$R$66,18,FALSE)</f>
        <v>1</v>
      </c>
      <c r="AL143" s="264">
        <f t="shared" si="236"/>
        <v>0</v>
      </c>
      <c r="AM143" s="256">
        <f t="shared" si="237"/>
        <v>0</v>
      </c>
      <c r="AN143" s="182">
        <f>VLOOKUP($H143,'Cost Drivers'!$A$3:$V$67,20,FALSE)</f>
        <v>1</v>
      </c>
      <c r="AO143" s="264">
        <f t="shared" si="238"/>
        <v>0</v>
      </c>
      <c r="AP143" s="256">
        <f t="shared" si="239"/>
        <v>0</v>
      </c>
      <c r="AQ143" s="182">
        <f>VLOOKUP($H143,'Cost Drivers'!$A$3:$V$67,22,FALSE)</f>
        <v>1</v>
      </c>
      <c r="AR143" s="264">
        <f t="shared" si="240"/>
        <v>0</v>
      </c>
    </row>
    <row r="144" spans="1:44" outlineLevel="1" x14ac:dyDescent="0.25">
      <c r="B144" s="250" t="s">
        <v>332</v>
      </c>
      <c r="C144" s="251" t="s">
        <v>258</v>
      </c>
      <c r="D144" s="182">
        <f t="shared" si="141"/>
        <v>5000</v>
      </c>
      <c r="E144" s="252" t="s">
        <v>334</v>
      </c>
      <c r="F144" s="252" t="s">
        <v>212</v>
      </c>
      <c r="G144" s="287">
        <v>0</v>
      </c>
      <c r="H144" s="180" t="s">
        <v>93</v>
      </c>
      <c r="I144" s="135">
        <v>0</v>
      </c>
      <c r="J144" s="255">
        <f t="shared" si="205"/>
        <v>1</v>
      </c>
      <c r="K144" s="256">
        <f t="shared" si="220"/>
        <v>0</v>
      </c>
      <c r="L144" s="257">
        <f t="shared" si="206"/>
        <v>0</v>
      </c>
      <c r="M144" s="462">
        <f>VLOOKUP($H144,'Cost Drivers'!$A$2:$R$66,2,FALSE)</f>
        <v>1</v>
      </c>
      <c r="N144" s="258">
        <f t="shared" si="207"/>
        <v>0</v>
      </c>
      <c r="O144" s="256">
        <f>P144*Q144</f>
        <v>0</v>
      </c>
      <c r="P144" s="480">
        <f>VLOOKUP($H144,'Cost Drivers'!$A$2:$R$66,4,FALSE)</f>
        <v>1</v>
      </c>
      <c r="Q144" s="264">
        <f>$N144</f>
        <v>0</v>
      </c>
      <c r="R144" s="256">
        <f>S144*T144</f>
        <v>0</v>
      </c>
      <c r="S144" s="182">
        <f>VLOOKUP($H144,'Cost Drivers'!$A$2:$R$66,6,FALSE)</f>
        <v>1</v>
      </c>
      <c r="T144" s="264">
        <f>$N144</f>
        <v>0</v>
      </c>
      <c r="U144" s="256">
        <f>V144*W144</f>
        <v>0</v>
      </c>
      <c r="V144" s="182">
        <f>VLOOKUP($H144,'Cost Drivers'!$A$2:$R$66,8,FALSE)</f>
        <v>1</v>
      </c>
      <c r="W144" s="264">
        <f>$N144</f>
        <v>0</v>
      </c>
      <c r="X144" s="256">
        <f>Y144*Z144</f>
        <v>0</v>
      </c>
      <c r="Y144" s="182">
        <f>VLOOKUP($H144,'Cost Drivers'!$A$2:$R$66,10,FALSE)</f>
        <v>1</v>
      </c>
      <c r="Z144" s="264">
        <f>$N144</f>
        <v>0</v>
      </c>
      <c r="AA144" s="256">
        <f>AB144*AC144</f>
        <v>0</v>
      </c>
      <c r="AB144" s="182">
        <f>VLOOKUP($H144,'Cost Drivers'!$A$2:$R$66,12,FALSE)</f>
        <v>1</v>
      </c>
      <c r="AC144" s="264">
        <f>$N144</f>
        <v>0</v>
      </c>
      <c r="AD144" s="256">
        <f>AE144*AF144</f>
        <v>0</v>
      </c>
      <c r="AE144" s="182">
        <f>VLOOKUP($H144,'Cost Drivers'!$A$2:$R$66,14,FALSE)</f>
        <v>1</v>
      </c>
      <c r="AF144" s="264">
        <f>$N144</f>
        <v>0</v>
      </c>
      <c r="AG144" s="256">
        <f>AH144*AI144</f>
        <v>0</v>
      </c>
      <c r="AH144" s="182">
        <f>VLOOKUP($H144,'Cost Drivers'!$A$2:$R$66,16,FALSE)</f>
        <v>1</v>
      </c>
      <c r="AI144" s="264">
        <f>$N144</f>
        <v>0</v>
      </c>
      <c r="AJ144" s="256">
        <f>AK144*AL144</f>
        <v>0</v>
      </c>
      <c r="AK144" s="182">
        <f>VLOOKUP($H144,'Cost Drivers'!$A$2:$R$66,18,FALSE)</f>
        <v>1</v>
      </c>
      <c r="AL144" s="264">
        <f>$N144</f>
        <v>0</v>
      </c>
      <c r="AM144" s="256">
        <f>AN144*AO144</f>
        <v>0</v>
      </c>
      <c r="AN144" s="182">
        <f>VLOOKUP($H144,'Cost Drivers'!$A$3:$V$67,20,FALSE)</f>
        <v>1</v>
      </c>
      <c r="AO144" s="264">
        <f>$N144</f>
        <v>0</v>
      </c>
      <c r="AP144" s="256">
        <f>AQ144*AR144</f>
        <v>0</v>
      </c>
      <c r="AQ144" s="182">
        <f>VLOOKUP($H144,'Cost Drivers'!$A$3:$V$67,22,FALSE)</f>
        <v>1</v>
      </c>
      <c r="AR144" s="264">
        <f>$N144</f>
        <v>0</v>
      </c>
    </row>
    <row r="145" spans="2:44" s="249" customFormat="1" ht="30" customHeight="1" x14ac:dyDescent="0.25">
      <c r="B145" s="238" t="s">
        <v>260</v>
      </c>
      <c r="C145" s="239" t="s">
        <v>196</v>
      </c>
      <c r="D145" s="182">
        <f t="shared" si="141"/>
        <v>0</v>
      </c>
      <c r="E145" s="240" t="s">
        <v>111</v>
      </c>
      <c r="F145" s="240" t="s">
        <v>235</v>
      </c>
      <c r="G145" s="241">
        <f>SUM(G146:G150)</f>
        <v>12711103.593333336</v>
      </c>
      <c r="H145" s="181" t="s">
        <v>270</v>
      </c>
      <c r="I145" s="242">
        <f>K145/G145</f>
        <v>0.5088372415247181</v>
      </c>
      <c r="J145" s="243">
        <f t="shared" si="205"/>
        <v>0.4911627584752819</v>
      </c>
      <c r="K145" s="241">
        <f>SUMIFS(K$19:K$168,$E$19:$E$168,$E145,$F$19:$F$168,"&lt;&gt;"&amp;$F145,$C$19:$C$168,"1000")+SUMIFS(K$19:K$168,$E$19:$E$168,$E145,$F$19:$F$168,"&lt;&gt;"&amp;$F145,$C$19:$C$168,"2000")+SUMIFS(K$19:K$168,$E$19:$E$168,$E145,$F$19:$F$168,"&lt;&gt;"&amp;$F145,$C$19:$C$168,"3000")+SUMIFS(K$19:K$168,$E$19:$E$168,$E145,$F$19:$F$168,"&lt;&gt;"&amp;$F145,$C$19:$C$168,"4000")+SUMIFS(K$19:K$168,$E$19:$E$168,$E145,$F$19:$F$168,"&lt;&gt;"&amp;$F145,$C$19:$C$168,"5000")</f>
        <v>6467882.8891666671</v>
      </c>
      <c r="L145" s="244">
        <f t="shared" ref="L145:L150" si="241">G145*J145</f>
        <v>6243220.7041666694</v>
      </c>
      <c r="M145" s="461">
        <f>VLOOKUP($H145,'Cost Drivers'!$A$2:$R$66,2,FALSE)</f>
        <v>27071.666666666668</v>
      </c>
      <c r="N145" s="245">
        <f t="shared" ref="N145:N150" si="242">L145/M145</f>
        <v>230.61826155882542</v>
      </c>
      <c r="O145" s="246">
        <f>SUMIFS(O$19:O$168, $E$19:$E$168,$E145,$C$19:$C$168,"1000")+SUMIFS(O$19:O$168, $E$19:$E$168,$E145,$C$19:$C$168,"2000")+SUMIFS(O$19:O$168, $E$19:$E$168,$E145,$C$19:$C$168,"3000")+SUMIFS(O$19:O$168, $E$19:$E$168,$E145,$C$19:$C$168,"4000")+SUMIFS(O$19:O$168, $E$19:$E$168,$E145,$C$19:$C$168,"5000")</f>
        <v>6198327.0159165505</v>
      </c>
      <c r="P145" s="479">
        <f>VLOOKUP($H145,'Cost Drivers'!$A$2:$R$66,4,FALSE)</f>
        <v>26877</v>
      </c>
      <c r="Q145" s="248">
        <f>O145/P145</f>
        <v>230.61826155882542</v>
      </c>
      <c r="R145" s="246">
        <f>SUMIFS(R$19:R$168, $E$19:$E$168,$E145,$C$19:$C$168,"1000")+SUMIFS(R$19:R$168, $E$19:$E$168,$E145,$C$19:$C$168,"2000")+SUMIFS(R$19:R$168, $E$19:$E$168,$E145,$C$19:$C$168,"3000")+SUMIFS(R$19:R$168, $E$19:$E$168,$E145,$C$19:$C$168,"4000")+SUMIFS(R$19:R$168, $E$19:$E$168,$E145,$C$19:$C$168,"5000")</f>
        <v>6019136.6266853418</v>
      </c>
      <c r="S145" s="247">
        <f>VLOOKUP($H145,'Cost Drivers'!$A$2:$R$66,6,FALSE)</f>
        <v>26100</v>
      </c>
      <c r="T145" s="248">
        <f>R145/S145</f>
        <v>230.61826155882537</v>
      </c>
      <c r="U145" s="246">
        <f>SUMIFS(U$19:U$168, $E$19:$E$168,$E145,$C$19:$C$168,"1000")+SUMIFS(U$19:U$168, $E$19:$E$168,$E145,$C$19:$C$168,"2000")+SUMIFS(U$19:U$168, $E$19:$E$168,$E145,$C$19:$C$168,"3000")+SUMIFS(U$19:U$168, $E$19:$E$168,$E145,$C$19:$C$168,"4000")+SUMIFS(U$19:U$168, $E$19:$E$168,$E145,$C$19:$C$168,"5000")</f>
        <v>6153587.0731741367</v>
      </c>
      <c r="V145" s="247">
        <f>VLOOKUP($H145,'Cost Drivers'!$A$2:$R$66,8,FALSE)</f>
        <v>26683</v>
      </c>
      <c r="W145" s="248">
        <f>U145/V145</f>
        <v>230.61826155882534</v>
      </c>
      <c r="X145" s="246">
        <f>SUMIFS(X$19:X$168, $E$19:$E$168,$E145,$C$19:$C$168,"1000")+SUMIFS(X$19:X$168, $E$19:$E$168,$E145,$C$19:$C$168,"2000")+SUMIFS(X$19:X$168, $E$19:$E$168,$E145,$C$19:$C$168,"3000")+SUMIFS(X$19:X$168, $E$19:$E$168,$E145,$C$19:$C$168,"4000")+SUMIFS(X$19:X$168, $E$19:$E$168,$E145,$C$19:$C$168,"5000")</f>
        <v>5794975.6764501641</v>
      </c>
      <c r="Y145" s="247">
        <f>VLOOKUP($H145,'Cost Drivers'!$A$2:$R$66,10,FALSE)</f>
        <v>25128</v>
      </c>
      <c r="Z145" s="248">
        <f>X145/Y145</f>
        <v>230.61826155882537</v>
      </c>
      <c r="AA145" s="246">
        <f>SUMIFS(AA$19:AA$168, $E$19:$E$168,$E145,$C$19:$C$168,"1000")+SUMIFS(AA$19:AA$168, $E$19:$E$168,$E145,$C$19:$C$168,"2000")+SUMIFS(AA$19:AA$168, $E$19:$E$168,$E145,$C$19:$C$168,"3000")+SUMIFS(AA$19:AA$168, $E$19:$E$168,$E145,$C$19:$C$168,"4000")+SUMIFS(AA$19:AA$168, $E$19:$E$168,$E145,$C$19:$C$168,"5000")</f>
        <v>6063876.5694277547</v>
      </c>
      <c r="AB145" s="247">
        <f>VLOOKUP($H145,'Cost Drivers'!$A$2:$R$66,12,FALSE)</f>
        <v>26294</v>
      </c>
      <c r="AC145" s="248">
        <f>AA145/AB145</f>
        <v>230.6182615588254</v>
      </c>
      <c r="AD145" s="246">
        <f>SUMIFS(AD$19:AD$168, $E$19:$E$168,$E145,$C$19:$C$168,"1000")+SUMIFS(AD$19:AD$168, $E$19:$E$168,$E145,$C$19:$C$168,"2000")+SUMIFS(AD$19:AD$168, $E$19:$E$168,$E145,$C$19:$C$168,"3000")+SUMIFS(AD$19:AD$168, $E$19:$E$168,$E145,$C$19:$C$168,"4000")+SUMIFS(AD$19:AD$168, $E$19:$E$168,$E145,$C$19:$C$168,"5000")</f>
        <v>5346653.7759798076</v>
      </c>
      <c r="AE145" s="247">
        <f>VLOOKUP($H145,'Cost Drivers'!$A$2:$R$66,14,FALSE)</f>
        <v>23184</v>
      </c>
      <c r="AF145" s="248">
        <f>AD145/AE145</f>
        <v>230.61826155882537</v>
      </c>
      <c r="AG145" s="246">
        <f>SUMIFS(AG$19:AG$168, $E$19:$E$168,$E145,$C$19:$C$168,"1000")+SUMIFS(AG$19:AG$168, $E$19:$E$168,$E145,$C$19:$C$168,"2000")+SUMIFS(AG$19:AG$168, $E$19:$E$168,$E145,$C$19:$C$168,"3000")+SUMIFS(AG$19:AG$168, $E$19:$E$168,$E145,$C$19:$C$168,"4000")+SUMIFS(AG$19:AG$168, $E$19:$E$168,$E145,$C$19:$C$168,"5000")</f>
        <v>5884686.1801965479</v>
      </c>
      <c r="AH145" s="247">
        <f>VLOOKUP($H145,'Cost Drivers'!$A$2:$R$66,16,FALSE)</f>
        <v>25517</v>
      </c>
      <c r="AI145" s="248">
        <f>AG145/AH145</f>
        <v>230.6182615588254</v>
      </c>
      <c r="AJ145" s="246">
        <f>SUMIFS(AJ$19:AJ$168, $E$19:$E$168,$E145,$C$19:$C$168,"1000")+SUMIFS(AJ$19:AJ$168, $E$19:$E$168,$E145,$C$19:$C$168,"2000")+SUMIFS(AJ$19:AJ$168, $E$19:$E$168,$E145,$C$19:$C$168,"3000")+SUMIFS(AJ$19:AJ$168, $E$19:$E$168,$E145,$C$19:$C$168,"4000")+SUMIFS(AJ$19:AJ$168, $E$19:$E$168,$E145,$C$19:$C$168,"5000")</f>
        <v>4450009.9750390947</v>
      </c>
      <c r="AK145" s="247">
        <f>VLOOKUP($H145,'Cost Drivers'!$A$2:$R$66,18,FALSE)</f>
        <v>19296</v>
      </c>
      <c r="AL145" s="248">
        <f>AJ145/AK145</f>
        <v>230.6182615588254</v>
      </c>
      <c r="AM145" s="246">
        <f>SUMIFS(AM$19:AM$168, $E$19:$E$168,$E145,$C$19:$C$168,"1000")+SUMIFS(AM$19:AM$168, $E$19:$E$168,$E145,$C$19:$C$168,"2000")+SUMIFS(AM$19:AM$168, $E$19:$E$168,$E145,$C$19:$C$168,"3000")+SUMIFS(AM$19:AM$168, $E$19:$E$168,$E145,$C$19:$C$168,"4000")+SUMIFS(AM$19:AM$168, $E$19:$E$168,$E145,$C$19:$C$168,"5000")</f>
        <v>6243297.5769205205</v>
      </c>
      <c r="AN145" s="247">
        <f>VLOOKUP($H145,'Cost Drivers'!$A$3:$V$67,20,FALSE)</f>
        <v>27072</v>
      </c>
      <c r="AO145" s="248">
        <f>AM145/AN145</f>
        <v>230.61826155882537</v>
      </c>
      <c r="AP145" s="246">
        <f>SUMIFS(AP$19:AP$168, $E$19:$E$168,$E145,$C$19:$C$168,"1000")+SUMIFS(AP$19:AP$168, $E$19:$E$168,$E145,$C$19:$C$168,"2000")+SUMIFS(AP$19:AP$168, $E$19:$E$168,$E145,$C$19:$C$168,"3000")+SUMIFS(AP$19:AP$168, $E$19:$E$168,$E145,$C$19:$C$168,"4000")+SUMIFS(AP$19:AP$168, $E$19:$E$168,$E145,$C$19:$C$168,"5000")</f>
        <v>6243297.5769205205</v>
      </c>
      <c r="AQ145" s="247">
        <f>VLOOKUP($H145,'Cost Drivers'!$A$3:$V$67,22,FALSE)</f>
        <v>27072</v>
      </c>
      <c r="AR145" s="248">
        <f>AP145/AQ145</f>
        <v>230.61826155882537</v>
      </c>
    </row>
    <row r="146" spans="2:44" outlineLevel="1" x14ac:dyDescent="0.25">
      <c r="B146" s="250" t="s">
        <v>260</v>
      </c>
      <c r="C146" s="251" t="s">
        <v>238</v>
      </c>
      <c r="D146" s="182">
        <f>FLOOR(LEFT(C146,4), 1000)</f>
        <v>1000</v>
      </c>
      <c r="E146" s="252" t="s">
        <v>111</v>
      </c>
      <c r="F146" s="252" t="s">
        <v>234</v>
      </c>
      <c r="G146" s="287">
        <v>3882493.3483333313</v>
      </c>
      <c r="H146" s="181" t="s">
        <v>312</v>
      </c>
      <c r="I146" s="135">
        <v>0.5</v>
      </c>
      <c r="J146" s="255">
        <f t="shared" si="205"/>
        <v>0.5</v>
      </c>
      <c r="K146" s="256">
        <f t="shared" ref="K146:K150" si="243">G146*I146</f>
        <v>1941246.6741666656</v>
      </c>
      <c r="L146" s="257">
        <f t="shared" si="241"/>
        <v>1941246.6741666656</v>
      </c>
      <c r="M146" s="462">
        <f>VLOOKUP($H146,'Cost Drivers'!$A$2:$R$66,2,FALSE)</f>
        <v>27071.666666666668</v>
      </c>
      <c r="N146" s="258">
        <f t="shared" si="242"/>
        <v>71.707689743273988</v>
      </c>
      <c r="O146" s="256">
        <f t="shared" ref="O146:O150" si="244">P146*Q146</f>
        <v>1927287.577229975</v>
      </c>
      <c r="P146" s="480">
        <f>VLOOKUP($H146,'Cost Drivers'!$A$2:$R$66,4,FALSE)</f>
        <v>26877</v>
      </c>
      <c r="Q146" s="259">
        <f t="shared" ref="Q146:Q149" si="245">N146</f>
        <v>71.707689743273988</v>
      </c>
      <c r="R146" s="256">
        <f t="shared" ref="R146:R150" si="246">S146*T146</f>
        <v>1871570.702299451</v>
      </c>
      <c r="S146" s="182">
        <f>VLOOKUP($H146,'Cost Drivers'!$A$2:$R$66,6,FALSE)</f>
        <v>26100</v>
      </c>
      <c r="T146" s="259">
        <f t="shared" ref="T146:T149" si="247">Q146</f>
        <v>71.707689743273988</v>
      </c>
      <c r="U146" s="256">
        <f t="shared" ref="U146:U150" si="248">V146*W146</f>
        <v>1913376.2854197798</v>
      </c>
      <c r="V146" s="182">
        <f>VLOOKUP($H146,'Cost Drivers'!$A$2:$R$66,8,FALSE)</f>
        <v>26683</v>
      </c>
      <c r="W146" s="259">
        <f t="shared" ref="W146:W149" si="249">T146</f>
        <v>71.707689743273988</v>
      </c>
      <c r="X146" s="256">
        <f t="shared" ref="X146:X150" si="250">Y146*Z146</f>
        <v>1801870.8278689887</v>
      </c>
      <c r="Y146" s="182">
        <f>VLOOKUP($H146,'Cost Drivers'!$A$2:$R$66,10,FALSE)</f>
        <v>25128</v>
      </c>
      <c r="Z146" s="259">
        <f t="shared" ref="Z146:Z149" si="251">W146</f>
        <v>71.707689743273988</v>
      </c>
      <c r="AA146" s="256">
        <f t="shared" ref="AA146:AA150" si="252">AB146*AC146</f>
        <v>1885481.9941096462</v>
      </c>
      <c r="AB146" s="182">
        <f>VLOOKUP($H146,'Cost Drivers'!$A$2:$R$66,12,FALSE)</f>
        <v>26294</v>
      </c>
      <c r="AC146" s="259">
        <f t="shared" ref="AC146:AC149" si="253">Z146</f>
        <v>71.707689743273988</v>
      </c>
      <c r="AD146" s="256">
        <f t="shared" ref="AD146:AD150" si="254">AE146*AF146</f>
        <v>1662471.0790080642</v>
      </c>
      <c r="AE146" s="182">
        <f>VLOOKUP($H146,'Cost Drivers'!$A$2:$R$66,14,FALSE)</f>
        <v>23184</v>
      </c>
      <c r="AF146" s="259">
        <f t="shared" ref="AF146:AF149" si="255">AC146</f>
        <v>71.707689743273988</v>
      </c>
      <c r="AG146" s="256">
        <f t="shared" ref="AG146:AG150" si="256">AH146*AI146</f>
        <v>1829765.1191791224</v>
      </c>
      <c r="AH146" s="182">
        <f>VLOOKUP($H146,'Cost Drivers'!$A$2:$R$66,16,FALSE)</f>
        <v>25517</v>
      </c>
      <c r="AI146" s="259">
        <f t="shared" ref="AI146:AI149" si="257">AF146</f>
        <v>71.707689743273988</v>
      </c>
      <c r="AJ146" s="256">
        <f t="shared" ref="AJ146:AJ150" si="258">AK146*AL146</f>
        <v>1383671.581286215</v>
      </c>
      <c r="AK146" s="182">
        <f>VLOOKUP($H146,'Cost Drivers'!$A$2:$R$66,18,FALSE)</f>
        <v>19296</v>
      </c>
      <c r="AL146" s="259">
        <f t="shared" ref="AL146:AL149" si="259">AI146</f>
        <v>71.707689743273988</v>
      </c>
      <c r="AM146" s="256">
        <f t="shared" ref="AM146:AM149" si="260">AN146*AO146</f>
        <v>1941270.5767299135</v>
      </c>
      <c r="AN146" s="182">
        <f>VLOOKUP($H146,'Cost Drivers'!$A$3:$V$67,20,FALSE)</f>
        <v>27072</v>
      </c>
      <c r="AO146" s="259">
        <f t="shared" ref="AO146:AO149" si="261">AL146</f>
        <v>71.707689743273988</v>
      </c>
      <c r="AP146" s="256">
        <f t="shared" ref="AP146:AP150" si="262">AQ146*AR146</f>
        <v>1941270.5767299135</v>
      </c>
      <c r="AQ146" s="182">
        <f>VLOOKUP($H146,'Cost Drivers'!$A$3:$V$67,22,FALSE)</f>
        <v>27072</v>
      </c>
      <c r="AR146" s="259">
        <f t="shared" ref="AR146:AR149" si="263">AO146</f>
        <v>71.707689743273988</v>
      </c>
    </row>
    <row r="147" spans="2:44" outlineLevel="1" x14ac:dyDescent="0.25">
      <c r="B147" s="250" t="s">
        <v>260</v>
      </c>
      <c r="C147" s="251" t="s">
        <v>242</v>
      </c>
      <c r="D147" s="182">
        <f t="shared" ref="D147:D150" si="264">FLOOR(LEFT(C147,4), 1000)</f>
        <v>2000</v>
      </c>
      <c r="E147" s="252" t="s">
        <v>111</v>
      </c>
      <c r="F147" s="252" t="s">
        <v>237</v>
      </c>
      <c r="G147" s="287">
        <v>8173854.9833333371</v>
      </c>
      <c r="H147" s="181" t="s">
        <v>312</v>
      </c>
      <c r="I147" s="135">
        <v>0.5</v>
      </c>
      <c r="J147" s="255">
        <f t="shared" si="205"/>
        <v>0.5</v>
      </c>
      <c r="K147" s="256">
        <f t="shared" si="243"/>
        <v>4086927.4916666686</v>
      </c>
      <c r="L147" s="257">
        <f t="shared" si="241"/>
        <v>4086927.4916666686</v>
      </c>
      <c r="M147" s="462">
        <f>VLOOKUP($H147,'Cost Drivers'!$A$2:$R$66,2,FALSE)</f>
        <v>27071.666666666668</v>
      </c>
      <c r="N147" s="258">
        <f t="shared" si="242"/>
        <v>150.9669700794189</v>
      </c>
      <c r="O147" s="256">
        <f t="shared" si="244"/>
        <v>4057539.254824542</v>
      </c>
      <c r="P147" s="480">
        <f>VLOOKUP($H147,'Cost Drivers'!$A$2:$R$66,4,FALSE)</f>
        <v>26877</v>
      </c>
      <c r="Q147" s="259">
        <f t="shared" si="245"/>
        <v>150.9669700794189</v>
      </c>
      <c r="R147" s="256">
        <f t="shared" si="246"/>
        <v>3940237.9190728334</v>
      </c>
      <c r="S147" s="182">
        <f>VLOOKUP($H147,'Cost Drivers'!$A$2:$R$66,6,FALSE)</f>
        <v>26100</v>
      </c>
      <c r="T147" s="259">
        <f t="shared" si="247"/>
        <v>150.9669700794189</v>
      </c>
      <c r="U147" s="256">
        <f t="shared" si="248"/>
        <v>4028251.6626291345</v>
      </c>
      <c r="V147" s="182">
        <f>VLOOKUP($H147,'Cost Drivers'!$A$2:$R$66,8,FALSE)</f>
        <v>26683</v>
      </c>
      <c r="W147" s="259">
        <f t="shared" si="249"/>
        <v>150.9669700794189</v>
      </c>
      <c r="X147" s="256">
        <f t="shared" si="250"/>
        <v>3793498.0241556382</v>
      </c>
      <c r="Y147" s="182">
        <f>VLOOKUP($H147,'Cost Drivers'!$A$2:$R$66,10,FALSE)</f>
        <v>25128</v>
      </c>
      <c r="Z147" s="259">
        <f t="shared" si="251"/>
        <v>150.9669700794189</v>
      </c>
      <c r="AA147" s="256">
        <f t="shared" si="252"/>
        <v>3969525.5112682404</v>
      </c>
      <c r="AB147" s="182">
        <f>VLOOKUP($H147,'Cost Drivers'!$A$2:$R$66,12,FALSE)</f>
        <v>26294</v>
      </c>
      <c r="AC147" s="259">
        <f t="shared" si="253"/>
        <v>150.9669700794189</v>
      </c>
      <c r="AD147" s="256">
        <f t="shared" si="254"/>
        <v>3500018.2343212478</v>
      </c>
      <c r="AE147" s="182">
        <f>VLOOKUP($H147,'Cost Drivers'!$A$2:$R$66,14,FALSE)</f>
        <v>23184</v>
      </c>
      <c r="AF147" s="259">
        <f t="shared" si="255"/>
        <v>150.9669700794189</v>
      </c>
      <c r="AG147" s="256">
        <f t="shared" si="256"/>
        <v>3852224.1755165323</v>
      </c>
      <c r="AH147" s="182">
        <f>VLOOKUP($H147,'Cost Drivers'!$A$2:$R$66,16,FALSE)</f>
        <v>25517</v>
      </c>
      <c r="AI147" s="259">
        <f t="shared" si="257"/>
        <v>150.9669700794189</v>
      </c>
      <c r="AJ147" s="256">
        <f t="shared" si="258"/>
        <v>2913058.654652467</v>
      </c>
      <c r="AK147" s="182">
        <f>VLOOKUP($H147,'Cost Drivers'!$A$2:$R$66,18,FALSE)</f>
        <v>19296</v>
      </c>
      <c r="AL147" s="259">
        <f t="shared" si="259"/>
        <v>150.9669700794189</v>
      </c>
      <c r="AM147" s="256">
        <f t="shared" si="260"/>
        <v>4086977.8139900286</v>
      </c>
      <c r="AN147" s="182">
        <f>VLOOKUP($H147,'Cost Drivers'!$A$3:$V$67,20,FALSE)</f>
        <v>27072</v>
      </c>
      <c r="AO147" s="259">
        <f t="shared" si="261"/>
        <v>150.9669700794189</v>
      </c>
      <c r="AP147" s="256">
        <f t="shared" si="262"/>
        <v>4086977.8139900286</v>
      </c>
      <c r="AQ147" s="182">
        <f>VLOOKUP($H147,'Cost Drivers'!$A$3:$V$67,22,FALSE)</f>
        <v>27072</v>
      </c>
      <c r="AR147" s="259">
        <f t="shared" si="263"/>
        <v>150.9669700794189</v>
      </c>
    </row>
    <row r="148" spans="2:44" ht="27" outlineLevel="1" x14ac:dyDescent="0.25">
      <c r="B148" s="250" t="s">
        <v>260</v>
      </c>
      <c r="C148" s="251" t="s">
        <v>252</v>
      </c>
      <c r="D148" s="182">
        <f t="shared" si="264"/>
        <v>3000</v>
      </c>
      <c r="E148" s="252" t="s">
        <v>111</v>
      </c>
      <c r="F148" s="252" t="s">
        <v>269</v>
      </c>
      <c r="G148" s="287">
        <v>430093.07666666666</v>
      </c>
      <c r="H148" s="181" t="s">
        <v>312</v>
      </c>
      <c r="I148" s="135">
        <v>0.5</v>
      </c>
      <c r="J148" s="255">
        <f t="shared" si="205"/>
        <v>0.5</v>
      </c>
      <c r="K148" s="256">
        <f t="shared" si="243"/>
        <v>215046.53833333333</v>
      </c>
      <c r="L148" s="257">
        <f t="shared" si="241"/>
        <v>215046.53833333333</v>
      </c>
      <c r="M148" s="462">
        <f>VLOOKUP($H148,'Cost Drivers'!$A$2:$R$66,2,FALSE)</f>
        <v>27071.666666666668</v>
      </c>
      <c r="N148" s="258">
        <f t="shared" si="242"/>
        <v>7.9436017361324875</v>
      </c>
      <c r="O148" s="256">
        <f t="shared" si="244"/>
        <v>213500.18386203286</v>
      </c>
      <c r="P148" s="480">
        <f>VLOOKUP($H148,'Cost Drivers'!$A$2:$R$66,4,FALSE)</f>
        <v>26877</v>
      </c>
      <c r="Q148" s="259">
        <f t="shared" si="245"/>
        <v>7.9436017361324875</v>
      </c>
      <c r="R148" s="256">
        <f t="shared" si="246"/>
        <v>207328.00531305792</v>
      </c>
      <c r="S148" s="182">
        <f>VLOOKUP($H148,'Cost Drivers'!$A$2:$R$66,6,FALSE)</f>
        <v>26100</v>
      </c>
      <c r="T148" s="259">
        <f t="shared" si="247"/>
        <v>7.9436017361324875</v>
      </c>
      <c r="U148" s="256">
        <f t="shared" si="248"/>
        <v>211959.12512522316</v>
      </c>
      <c r="V148" s="182">
        <f>VLOOKUP($H148,'Cost Drivers'!$A$2:$R$66,8,FALSE)</f>
        <v>26683</v>
      </c>
      <c r="W148" s="259">
        <f t="shared" si="249"/>
        <v>7.9436017361324875</v>
      </c>
      <c r="X148" s="256">
        <f t="shared" si="250"/>
        <v>199606.82442553714</v>
      </c>
      <c r="Y148" s="182">
        <f>VLOOKUP($H148,'Cost Drivers'!$A$2:$R$66,10,FALSE)</f>
        <v>25128</v>
      </c>
      <c r="Z148" s="259">
        <f t="shared" si="251"/>
        <v>7.9436017361324875</v>
      </c>
      <c r="AA148" s="256">
        <f t="shared" si="252"/>
        <v>208869.06404986762</v>
      </c>
      <c r="AB148" s="182">
        <f>VLOOKUP($H148,'Cost Drivers'!$A$2:$R$66,12,FALSE)</f>
        <v>26294</v>
      </c>
      <c r="AC148" s="259">
        <f t="shared" si="253"/>
        <v>7.9436017361324875</v>
      </c>
      <c r="AD148" s="256">
        <f t="shared" si="254"/>
        <v>184164.46265049558</v>
      </c>
      <c r="AE148" s="182">
        <f>VLOOKUP($H148,'Cost Drivers'!$A$2:$R$66,14,FALSE)</f>
        <v>23184</v>
      </c>
      <c r="AF148" s="259">
        <f t="shared" si="255"/>
        <v>7.9436017361324875</v>
      </c>
      <c r="AG148" s="256">
        <f t="shared" si="256"/>
        <v>202696.88550089268</v>
      </c>
      <c r="AH148" s="182">
        <f>VLOOKUP($H148,'Cost Drivers'!$A$2:$R$66,16,FALSE)</f>
        <v>25517</v>
      </c>
      <c r="AI148" s="259">
        <f t="shared" si="257"/>
        <v>7.9436017361324875</v>
      </c>
      <c r="AJ148" s="256">
        <f t="shared" si="258"/>
        <v>153279.73910041247</v>
      </c>
      <c r="AK148" s="182">
        <f>VLOOKUP($H148,'Cost Drivers'!$A$2:$R$66,18,FALSE)</f>
        <v>19296</v>
      </c>
      <c r="AL148" s="259">
        <f t="shared" si="259"/>
        <v>7.9436017361324875</v>
      </c>
      <c r="AM148" s="256">
        <f t="shared" si="260"/>
        <v>215049.1862005787</v>
      </c>
      <c r="AN148" s="182">
        <f>VLOOKUP($H148,'Cost Drivers'!$A$3:$V$67,20,FALSE)</f>
        <v>27072</v>
      </c>
      <c r="AO148" s="259">
        <f t="shared" si="261"/>
        <v>7.9436017361324875</v>
      </c>
      <c r="AP148" s="256">
        <f t="shared" si="262"/>
        <v>215049.1862005787</v>
      </c>
      <c r="AQ148" s="182">
        <f>VLOOKUP($H148,'Cost Drivers'!$A$3:$V$67,22,FALSE)</f>
        <v>27072</v>
      </c>
      <c r="AR148" s="259">
        <f t="shared" si="263"/>
        <v>7.9436017361324875</v>
      </c>
    </row>
    <row r="149" spans="2:44" outlineLevel="1" x14ac:dyDescent="0.25">
      <c r="B149" s="250" t="s">
        <v>260</v>
      </c>
      <c r="C149" s="251" t="s">
        <v>257</v>
      </c>
      <c r="D149" s="182">
        <f t="shared" si="264"/>
        <v>4000</v>
      </c>
      <c r="E149" s="252" t="s">
        <v>111</v>
      </c>
      <c r="F149" s="252" t="s">
        <v>211</v>
      </c>
      <c r="G149" s="287">
        <v>224662.18500000003</v>
      </c>
      <c r="H149" s="180" t="s">
        <v>93</v>
      </c>
      <c r="I149" s="135">
        <v>1</v>
      </c>
      <c r="J149" s="255">
        <f t="shared" si="205"/>
        <v>0</v>
      </c>
      <c r="K149" s="256">
        <f t="shared" si="243"/>
        <v>224662.18500000003</v>
      </c>
      <c r="L149" s="257">
        <f t="shared" si="241"/>
        <v>0</v>
      </c>
      <c r="M149" s="462">
        <f>VLOOKUP($H149,'Cost Drivers'!$A$2:$R$66,2,FALSE)</f>
        <v>1</v>
      </c>
      <c r="N149" s="258">
        <f t="shared" si="242"/>
        <v>0</v>
      </c>
      <c r="O149" s="256">
        <f t="shared" si="244"/>
        <v>0</v>
      </c>
      <c r="P149" s="480">
        <f>VLOOKUP($H149,'Cost Drivers'!$A$2:$R$66,4,FALSE)</f>
        <v>1</v>
      </c>
      <c r="Q149" s="259">
        <f t="shared" si="245"/>
        <v>0</v>
      </c>
      <c r="R149" s="256">
        <f t="shared" si="246"/>
        <v>0</v>
      </c>
      <c r="S149" s="182">
        <f>VLOOKUP($H149,'Cost Drivers'!$A$2:$R$66,6,FALSE)</f>
        <v>1</v>
      </c>
      <c r="T149" s="259">
        <f t="shared" si="247"/>
        <v>0</v>
      </c>
      <c r="U149" s="256">
        <f t="shared" si="248"/>
        <v>0</v>
      </c>
      <c r="V149" s="182">
        <f>VLOOKUP($H149,'Cost Drivers'!$A$2:$R$66,8,FALSE)</f>
        <v>1</v>
      </c>
      <c r="W149" s="259">
        <f t="shared" si="249"/>
        <v>0</v>
      </c>
      <c r="X149" s="256">
        <f t="shared" si="250"/>
        <v>0</v>
      </c>
      <c r="Y149" s="182">
        <f>VLOOKUP($H149,'Cost Drivers'!$A$2:$R$66,10,FALSE)</f>
        <v>1</v>
      </c>
      <c r="Z149" s="259">
        <f t="shared" si="251"/>
        <v>0</v>
      </c>
      <c r="AA149" s="256">
        <f t="shared" si="252"/>
        <v>0</v>
      </c>
      <c r="AB149" s="182">
        <f>VLOOKUP($H149,'Cost Drivers'!$A$2:$R$66,12,FALSE)</f>
        <v>1</v>
      </c>
      <c r="AC149" s="259">
        <f t="shared" si="253"/>
        <v>0</v>
      </c>
      <c r="AD149" s="256">
        <f t="shared" si="254"/>
        <v>0</v>
      </c>
      <c r="AE149" s="182">
        <f>VLOOKUP($H149,'Cost Drivers'!$A$2:$R$66,14,FALSE)</f>
        <v>1</v>
      </c>
      <c r="AF149" s="259">
        <f t="shared" si="255"/>
        <v>0</v>
      </c>
      <c r="AG149" s="256">
        <f t="shared" si="256"/>
        <v>0</v>
      </c>
      <c r="AH149" s="182">
        <f>VLOOKUP($H149,'Cost Drivers'!$A$2:$R$66,16,FALSE)</f>
        <v>1</v>
      </c>
      <c r="AI149" s="259">
        <f t="shared" si="257"/>
        <v>0</v>
      </c>
      <c r="AJ149" s="256">
        <f t="shared" si="258"/>
        <v>0</v>
      </c>
      <c r="AK149" s="182">
        <f>VLOOKUP($H149,'Cost Drivers'!$A$2:$R$66,18,FALSE)</f>
        <v>1</v>
      </c>
      <c r="AL149" s="259">
        <f t="shared" si="259"/>
        <v>0</v>
      </c>
      <c r="AM149" s="256">
        <f t="shared" si="260"/>
        <v>0</v>
      </c>
      <c r="AN149" s="182">
        <f>VLOOKUP($H149,'Cost Drivers'!$A$3:$V$67,20,FALSE)</f>
        <v>1</v>
      </c>
      <c r="AO149" s="259">
        <f t="shared" si="261"/>
        <v>0</v>
      </c>
      <c r="AP149" s="256">
        <f t="shared" si="262"/>
        <v>0</v>
      </c>
      <c r="AQ149" s="182">
        <f>VLOOKUP($H149,'Cost Drivers'!$A$3:$V$67,22,FALSE)</f>
        <v>1</v>
      </c>
      <c r="AR149" s="259">
        <f t="shared" si="263"/>
        <v>0</v>
      </c>
    </row>
    <row r="150" spans="2:44" outlineLevel="1" x14ac:dyDescent="0.25">
      <c r="B150" s="250" t="s">
        <v>260</v>
      </c>
      <c r="C150" s="251" t="s">
        <v>258</v>
      </c>
      <c r="D150" s="182">
        <f t="shared" si="264"/>
        <v>5000</v>
      </c>
      <c r="E150" s="252" t="s">
        <v>111</v>
      </c>
      <c r="F150" s="252" t="s">
        <v>212</v>
      </c>
      <c r="G150" s="287">
        <v>0</v>
      </c>
      <c r="H150" s="180" t="s">
        <v>93</v>
      </c>
      <c r="I150" s="135">
        <v>1</v>
      </c>
      <c r="J150" s="255">
        <f t="shared" si="205"/>
        <v>0</v>
      </c>
      <c r="K150" s="256">
        <f t="shared" si="243"/>
        <v>0</v>
      </c>
      <c r="L150" s="257">
        <f t="shared" si="241"/>
        <v>0</v>
      </c>
      <c r="M150" s="462">
        <f>VLOOKUP($H150,'Cost Drivers'!$A$2:$R$66,2,FALSE)</f>
        <v>1</v>
      </c>
      <c r="N150" s="258">
        <f t="shared" si="242"/>
        <v>0</v>
      </c>
      <c r="O150" s="256">
        <f t="shared" si="244"/>
        <v>0</v>
      </c>
      <c r="P150" s="480">
        <f>VLOOKUP($H150,'Cost Drivers'!$A$2:$R$66,4,FALSE)</f>
        <v>1</v>
      </c>
      <c r="Q150" s="259">
        <f>N150</f>
        <v>0</v>
      </c>
      <c r="R150" s="256">
        <f t="shared" si="246"/>
        <v>0</v>
      </c>
      <c r="S150" s="182">
        <f>VLOOKUP($H150,'Cost Drivers'!$A$2:$R$66,6,FALSE)</f>
        <v>1</v>
      </c>
      <c r="T150" s="259">
        <f>Q150</f>
        <v>0</v>
      </c>
      <c r="U150" s="256">
        <f t="shared" si="248"/>
        <v>0</v>
      </c>
      <c r="V150" s="182">
        <f>VLOOKUP($H150,'Cost Drivers'!$A$2:$R$66,8,FALSE)</f>
        <v>1</v>
      </c>
      <c r="W150" s="259">
        <f>T150</f>
        <v>0</v>
      </c>
      <c r="X150" s="256">
        <f t="shared" si="250"/>
        <v>0</v>
      </c>
      <c r="Y150" s="182">
        <f>VLOOKUP($H150,'Cost Drivers'!$A$2:$R$66,10,FALSE)</f>
        <v>1</v>
      </c>
      <c r="Z150" s="259">
        <f>W150</f>
        <v>0</v>
      </c>
      <c r="AA150" s="256">
        <f t="shared" si="252"/>
        <v>0</v>
      </c>
      <c r="AB150" s="182">
        <f>VLOOKUP($H150,'Cost Drivers'!$A$2:$R$66,12,FALSE)</f>
        <v>1</v>
      </c>
      <c r="AC150" s="259">
        <f>Z150</f>
        <v>0</v>
      </c>
      <c r="AD150" s="256">
        <f t="shared" si="254"/>
        <v>0</v>
      </c>
      <c r="AE150" s="182">
        <f>VLOOKUP($H150,'Cost Drivers'!$A$2:$R$66,14,FALSE)</f>
        <v>1</v>
      </c>
      <c r="AF150" s="259">
        <f>AC150</f>
        <v>0</v>
      </c>
      <c r="AG150" s="256">
        <f t="shared" si="256"/>
        <v>0</v>
      </c>
      <c r="AH150" s="182">
        <f>VLOOKUP($H150,'Cost Drivers'!$A$2:$R$66,16,FALSE)</f>
        <v>1</v>
      </c>
      <c r="AI150" s="259">
        <f>AF150</f>
        <v>0</v>
      </c>
      <c r="AJ150" s="256">
        <f t="shared" si="258"/>
        <v>0</v>
      </c>
      <c r="AK150" s="182">
        <f>VLOOKUP($H150,'Cost Drivers'!$A$2:$R$66,18,FALSE)</f>
        <v>1</v>
      </c>
      <c r="AL150" s="259">
        <f>AI150</f>
        <v>0</v>
      </c>
      <c r="AM150" s="256"/>
      <c r="AN150" s="182">
        <f>VLOOKUP($H150,'Cost Drivers'!$A$3:$V$67,20,FALSE)</f>
        <v>1</v>
      </c>
      <c r="AO150" s="259">
        <f>AL150</f>
        <v>0</v>
      </c>
      <c r="AP150" s="256">
        <f t="shared" si="262"/>
        <v>0</v>
      </c>
      <c r="AQ150" s="182">
        <f>VLOOKUP($H150,'Cost Drivers'!$A$3:$V$67,22,FALSE)</f>
        <v>1</v>
      </c>
      <c r="AR150" s="259">
        <f>AO150</f>
        <v>0</v>
      </c>
    </row>
    <row r="151" spans="2:44" s="249" customFormat="1" ht="30" customHeight="1" x14ac:dyDescent="0.25">
      <c r="B151" s="238" t="s">
        <v>262</v>
      </c>
      <c r="C151" s="239" t="s">
        <v>196</v>
      </c>
      <c r="D151" s="182">
        <f t="shared" ref="D151:D162" si="265">FLOOR(LEFT(C151,4), 1000)</f>
        <v>0</v>
      </c>
      <c r="E151" s="240" t="s">
        <v>112</v>
      </c>
      <c r="F151" s="240" t="s">
        <v>235</v>
      </c>
      <c r="G151" s="241">
        <f>SUM(G152:G156)</f>
        <v>8764103.46833333</v>
      </c>
      <c r="H151" s="181" t="s">
        <v>270</v>
      </c>
      <c r="I151" s="242">
        <f>K151/G151</f>
        <v>0.8117912891155068</v>
      </c>
      <c r="J151" s="243">
        <f t="shared" ref="J151" si="266">1-I151</f>
        <v>0.1882087108844932</v>
      </c>
      <c r="K151" s="241">
        <f>SUMIFS(K$19:K$168,$E$19:$E$168,$E151,$F$19:$F$168,"&lt;&gt;"&amp;$F151,$C$19:$C$168,"1000")+SUMIFS(K$19:K$168,$E$19:$E$168,$E151,$F$19:$F$168,"&lt;&gt;"&amp;$F151,$C$19:$C$168,"2000")+SUMIFS(K$19:K$168,$E$19:$E$168,$E151,$F$19:$F$168,"&lt;&gt;"&amp;$F151,$C$19:$C$168,"3000")+SUMIFS(K$19:K$168,$E$19:$E$168,$E151,$F$19:$F$168,"&lt;&gt;"&amp;$F151,$C$19:$C$168,"4000")+SUMIFS(K$19:K$168,$E$19:$E$168,$E151,$F$19:$F$168,"&lt;&gt;"&amp;$F151,$C$19:$C$168,"5000")</f>
        <v>7114622.8524999982</v>
      </c>
      <c r="L151" s="244">
        <f t="shared" si="206"/>
        <v>1649480.6158333318</v>
      </c>
      <c r="M151" s="461">
        <f>VLOOKUP($H151,'Cost Drivers'!$A$2:$R$66,2,FALSE)</f>
        <v>27071.666666666668</v>
      </c>
      <c r="N151" s="245">
        <f t="shared" si="207"/>
        <v>60.930146493874226</v>
      </c>
      <c r="O151" s="246">
        <f>SUMIFS(O$19:O$168, $E$19:$E$168,$E151,$C$19:$C$168,"1000")+SUMIFS(O$19:O$168, $E$19:$E$168,$E151,$C$19:$C$168,"2000")+SUMIFS(O$19:O$168, $E$19:$E$168,$E151,$C$19:$C$168,"3000")+SUMIFS(O$19:O$168, $E$19:$E$168,$E151,$C$19:$C$168,"4000")+SUMIFS(O$19:O$168, $E$19:$E$168,$E151,$C$19:$C$168,"5000")</f>
        <v>1637619.5473158583</v>
      </c>
      <c r="P151" s="479">
        <f>VLOOKUP($H151,'Cost Drivers'!$A$2:$R$66,4,FALSE)</f>
        <v>26877</v>
      </c>
      <c r="Q151" s="248">
        <f>O151/P151</f>
        <v>60.930146493874254</v>
      </c>
      <c r="R151" s="246">
        <f>SUMIFS(R$19:R$168, $E$19:$E$168,$E151,$C$19:$C$168,"1000")+SUMIFS(R$19:R$168, $E$19:$E$168,$E151,$C$19:$C$168,"2000")+SUMIFS(R$19:R$168, $E$19:$E$168,$E151,$C$19:$C$168,"3000")+SUMIFS(R$19:R$168, $E$19:$E$168,$E151,$C$19:$C$168,"4000")+SUMIFS(R$19:R$168, $E$19:$E$168,$E151,$C$19:$C$168,"5000")</f>
        <v>1590276.8234901179</v>
      </c>
      <c r="S151" s="247">
        <f>VLOOKUP($H151,'Cost Drivers'!$A$2:$R$66,6,FALSE)</f>
        <v>26100</v>
      </c>
      <c r="T151" s="248">
        <f>R151/S151</f>
        <v>60.930146493874247</v>
      </c>
      <c r="U151" s="246">
        <f>SUMIFS(U$19:U$168, $E$19:$E$168,$E151,$C$19:$C$168,"1000")+SUMIFS(U$19:U$168, $E$19:$E$168,$E151,$C$19:$C$168,"2000")+SUMIFS(U$19:U$168, $E$19:$E$168,$E151,$C$19:$C$168,"3000")+SUMIFS(U$19:U$168, $E$19:$E$168,$E151,$C$19:$C$168,"4000")+SUMIFS(U$19:U$168, $E$19:$E$168,$E151,$C$19:$C$168,"5000")</f>
        <v>1625799.0988960466</v>
      </c>
      <c r="V151" s="247">
        <f>VLOOKUP($H151,'Cost Drivers'!$A$2:$R$66,8,FALSE)</f>
        <v>26683</v>
      </c>
      <c r="W151" s="248">
        <f>U151/V151</f>
        <v>60.930146493874254</v>
      </c>
      <c r="X151" s="246">
        <f>SUMIFS(X$19:X$168, $E$19:$E$168,$E151,$C$19:$C$168,"1000")+SUMIFS(X$19:X$168, $E$19:$E$168,$E151,$C$19:$C$168,"2000")+SUMIFS(X$19:X$168, $E$19:$E$168,$E151,$C$19:$C$168,"3000")+SUMIFS(X$19:X$168, $E$19:$E$168,$E151,$C$19:$C$168,"4000")+SUMIFS(X$19:X$168, $E$19:$E$168,$E151,$C$19:$C$168,"5000")</f>
        <v>1531052.7210980724</v>
      </c>
      <c r="Y151" s="247">
        <f>VLOOKUP($H151,'Cost Drivers'!$A$2:$R$66,10,FALSE)</f>
        <v>25128</v>
      </c>
      <c r="Z151" s="248">
        <f>X151/Y151</f>
        <v>60.930146493874261</v>
      </c>
      <c r="AA151" s="246">
        <f>SUMIFS(AA$19:AA$168, $E$19:$E$168,$E151,$C$19:$C$168,"1000")+SUMIFS(AA$19:AA$168, $E$19:$E$168,$E151,$C$19:$C$168,"2000")+SUMIFS(AA$19:AA$168, $E$19:$E$168,$E151,$C$19:$C$168,"3000")+SUMIFS(AA$19:AA$168, $E$19:$E$168,$E151,$C$19:$C$168,"4000")+SUMIFS(AA$19:AA$168, $E$19:$E$168,$E151,$C$19:$C$168,"5000")</f>
        <v>1602097.2719099296</v>
      </c>
      <c r="AB151" s="247">
        <f>VLOOKUP($H151,'Cost Drivers'!$A$2:$R$66,12,FALSE)</f>
        <v>26294</v>
      </c>
      <c r="AC151" s="248">
        <f>AA151/AB151</f>
        <v>60.930146493874254</v>
      </c>
      <c r="AD151" s="246">
        <f>SUMIFS(AD$19:AD$168, $E$19:$E$168,$E151,$C$19:$C$168,"1000")+SUMIFS(AD$19:AD$168, $E$19:$E$168,$E151,$C$19:$C$168,"2000")+SUMIFS(AD$19:AD$168, $E$19:$E$168,$E151,$C$19:$C$168,"3000")+SUMIFS(AD$19:AD$168, $E$19:$E$168,$E151,$C$19:$C$168,"4000")+SUMIFS(AD$19:AD$168, $E$19:$E$168,$E151,$C$19:$C$168,"5000")</f>
        <v>1412604.5163139808</v>
      </c>
      <c r="AE151" s="247">
        <f>VLOOKUP($H151,'Cost Drivers'!$A$2:$R$66,14,FALSE)</f>
        <v>23184</v>
      </c>
      <c r="AF151" s="248">
        <f>AD151/AE151</f>
        <v>60.930146493874261</v>
      </c>
      <c r="AG151" s="246">
        <f>SUMIFS(AG$19:AG$168, $E$19:$E$168,$E151,$C$19:$C$168,"1000")+SUMIFS(AG$19:AG$168, $E$19:$E$168,$E151,$C$19:$C$168,"2000")+SUMIFS(AG$19:AG$168, $E$19:$E$168,$E151,$C$19:$C$168,"3000")+SUMIFS(AG$19:AG$168, $E$19:$E$168,$E151,$C$19:$C$168,"4000")+SUMIFS(AG$19:AG$168, $E$19:$E$168,$E151,$C$19:$C$168,"5000")</f>
        <v>1554754.5480841892</v>
      </c>
      <c r="AH151" s="247">
        <f>VLOOKUP($H151,'Cost Drivers'!$A$2:$R$66,16,FALSE)</f>
        <v>25517</v>
      </c>
      <c r="AI151" s="248">
        <f>AG151/AH151</f>
        <v>60.930146493874247</v>
      </c>
      <c r="AJ151" s="246">
        <f>SUMIFS(AJ$19:AJ$168, $E$19:$E$168,$E151,$C$19:$C$168,"1000")+SUMIFS(AJ$19:AJ$168, $E$19:$E$168,$E151,$C$19:$C$168,"2000")+SUMIFS(AJ$19:AJ$168, $E$19:$E$168,$E151,$C$19:$C$168,"3000")+SUMIFS(AJ$19:AJ$168, $E$19:$E$168,$E151,$C$19:$C$168,"4000")+SUMIFS(AJ$19:AJ$168, $E$19:$E$168,$E151,$C$19:$C$168,"5000")</f>
        <v>1175708.1067457979</v>
      </c>
      <c r="AK151" s="247">
        <f>VLOOKUP($H151,'Cost Drivers'!$A$2:$R$66,18,FALSE)</f>
        <v>19296</v>
      </c>
      <c r="AL151" s="248">
        <f>AJ151/AK151</f>
        <v>60.930146493874268</v>
      </c>
      <c r="AM151" s="246">
        <f>SUMIFS(AM$19:AM$168, $E$19:$E$168,$E151,$C$19:$C$168,"1000")+SUMIFS(AM$19:AM$168, $E$19:$E$168,$E151,$C$19:$C$168,"2000")+SUMIFS(AM$19:AM$168, $E$19:$E$168,$E151,$C$19:$C$168,"3000")+SUMIFS(AM$19:AM$168, $E$19:$E$168,$E151,$C$19:$C$168,"4000")+SUMIFS(AM$19:AM$168, $E$19:$E$168,$E151,$C$19:$C$168,"5000")</f>
        <v>1649500.9258821639</v>
      </c>
      <c r="AN151" s="247">
        <f>VLOOKUP($H151,'Cost Drivers'!$A$3:$V$67,20,FALSE)</f>
        <v>27072</v>
      </c>
      <c r="AO151" s="248">
        <f>AM151/AN151</f>
        <v>60.930146493874261</v>
      </c>
      <c r="AP151" s="246">
        <f>SUMIFS(AP$19:AP$168, $E$19:$E$168,$E151,$C$19:$C$168,"1000")+SUMIFS(AP$19:AP$168, $E$19:$E$168,$E151,$C$19:$C$168,"2000")+SUMIFS(AP$19:AP$168, $E$19:$E$168,$E151,$C$19:$C$168,"3000")+SUMIFS(AP$19:AP$168, $E$19:$E$168,$E151,$C$19:$C$168,"4000")+SUMIFS(AP$19:AP$168, $E$19:$E$168,$E151,$C$19:$C$168,"5000")</f>
        <v>1649500.9258821639</v>
      </c>
      <c r="AQ151" s="247">
        <f>VLOOKUP($H151,'Cost Drivers'!$A$3:$V$67,22,FALSE)</f>
        <v>27072</v>
      </c>
      <c r="AR151" s="248">
        <f>AP151/AQ151</f>
        <v>60.930146493874261</v>
      </c>
    </row>
    <row r="152" spans="2:44" outlineLevel="1" x14ac:dyDescent="0.25">
      <c r="B152" s="250" t="s">
        <v>262</v>
      </c>
      <c r="C152" s="251" t="s">
        <v>238</v>
      </c>
      <c r="D152" s="182">
        <f t="shared" si="265"/>
        <v>1000</v>
      </c>
      <c r="E152" s="252" t="s">
        <v>112</v>
      </c>
      <c r="F152" s="252" t="s">
        <v>234</v>
      </c>
      <c r="G152" s="287">
        <v>1998663.9733333327</v>
      </c>
      <c r="H152" s="180" t="s">
        <v>312</v>
      </c>
      <c r="I152" s="135">
        <v>0.75</v>
      </c>
      <c r="J152" s="255">
        <f t="shared" si="205"/>
        <v>0.25</v>
      </c>
      <c r="K152" s="256">
        <f t="shared" ref="K152" si="267">G152*I152</f>
        <v>1498997.9799999995</v>
      </c>
      <c r="L152" s="257">
        <f t="shared" si="206"/>
        <v>499665.99333333317</v>
      </c>
      <c r="M152" s="462">
        <f>VLOOKUP($H152,'Cost Drivers'!$A$2:$R$66,2,FALSE)</f>
        <v>27071.666666666668</v>
      </c>
      <c r="N152" s="258">
        <f t="shared" si="207"/>
        <v>18.457156682878772</v>
      </c>
      <c r="O152" s="256">
        <f t="shared" ref="O152:O156" si="268">P152*Q152</f>
        <v>496073.00016573275</v>
      </c>
      <c r="P152" s="480">
        <f>VLOOKUP($H152,'Cost Drivers'!$A$2:$R$66,4,FALSE)</f>
        <v>26877</v>
      </c>
      <c r="Q152" s="259">
        <f t="shared" ref="Q152:Q155" si="269">N152</f>
        <v>18.457156682878772</v>
      </c>
      <c r="R152" s="256">
        <f t="shared" ref="R152:R156" si="270">S152*T152</f>
        <v>481731.78942313592</v>
      </c>
      <c r="S152" s="182">
        <f>VLOOKUP($H152,'Cost Drivers'!$A$2:$R$66,6,FALSE)</f>
        <v>26100</v>
      </c>
      <c r="T152" s="259">
        <f t="shared" ref="T152:T155" si="271">Q152</f>
        <v>18.457156682878772</v>
      </c>
      <c r="U152" s="256">
        <f t="shared" ref="U152:U156" si="272">V152*W152</f>
        <v>492492.31176925427</v>
      </c>
      <c r="V152" s="182">
        <f>VLOOKUP($H152,'Cost Drivers'!$A$2:$R$66,8,FALSE)</f>
        <v>26683</v>
      </c>
      <c r="W152" s="259">
        <f t="shared" ref="W152:W155" si="273">T152</f>
        <v>18.457156682878772</v>
      </c>
      <c r="X152" s="256">
        <f t="shared" ref="X152:X156" si="274">Y152*Z152</f>
        <v>463791.43312737776</v>
      </c>
      <c r="Y152" s="182">
        <f>VLOOKUP($H152,'Cost Drivers'!$A$2:$R$66,10,FALSE)</f>
        <v>25128</v>
      </c>
      <c r="Z152" s="259">
        <f t="shared" ref="Z152:Z155" si="275">W152</f>
        <v>18.457156682878772</v>
      </c>
      <c r="AA152" s="256">
        <f t="shared" ref="AA152:AA156" si="276">AB152*AC152</f>
        <v>485312.4778196144</v>
      </c>
      <c r="AB152" s="182">
        <f>VLOOKUP($H152,'Cost Drivers'!$A$2:$R$66,12,FALSE)</f>
        <v>26294</v>
      </c>
      <c r="AC152" s="259">
        <f t="shared" ref="AC152:AC155" si="277">Z152</f>
        <v>18.457156682878772</v>
      </c>
      <c r="AD152" s="256">
        <f t="shared" ref="AD152:AD156" si="278">AE152*AF152</f>
        <v>427910.72053586144</v>
      </c>
      <c r="AE152" s="182">
        <f>VLOOKUP($H152,'Cost Drivers'!$A$2:$R$66,14,FALSE)</f>
        <v>23184</v>
      </c>
      <c r="AF152" s="259">
        <f t="shared" ref="AF152:AF155" si="279">AC152</f>
        <v>18.457156682878772</v>
      </c>
      <c r="AG152" s="256">
        <f t="shared" ref="AG152:AG156" si="280">AH152*AI152</f>
        <v>470971.26707701763</v>
      </c>
      <c r="AH152" s="182">
        <f>VLOOKUP($H152,'Cost Drivers'!$A$2:$R$66,16,FALSE)</f>
        <v>25517</v>
      </c>
      <c r="AI152" s="259">
        <f t="shared" ref="AI152:AI155" si="281">AF152</f>
        <v>18.457156682878772</v>
      </c>
      <c r="AJ152" s="256">
        <f t="shared" ref="AJ152:AJ156" si="282">AK152*AL152</f>
        <v>356149.29535282881</v>
      </c>
      <c r="AK152" s="182">
        <f>VLOOKUP($H152,'Cost Drivers'!$A$2:$R$66,18,FALSE)</f>
        <v>19296</v>
      </c>
      <c r="AL152" s="259">
        <f t="shared" ref="AL152:AL155" si="283">AI152</f>
        <v>18.457156682878772</v>
      </c>
      <c r="AM152" s="256">
        <f t="shared" ref="AM152:AM156" si="284">AN152*AO152</f>
        <v>499672.14571889408</v>
      </c>
      <c r="AN152" s="182">
        <f>VLOOKUP($H152,'Cost Drivers'!$A$3:$V$67,20,FALSE)</f>
        <v>27072</v>
      </c>
      <c r="AO152" s="259">
        <f t="shared" ref="AO152:AO155" si="285">AL152</f>
        <v>18.457156682878772</v>
      </c>
      <c r="AP152" s="256">
        <f t="shared" ref="AP152:AP156" si="286">AQ152*AR152</f>
        <v>499672.14571889408</v>
      </c>
      <c r="AQ152" s="182">
        <f>VLOOKUP($H152,'Cost Drivers'!$A$3:$V$67,22,FALSE)</f>
        <v>27072</v>
      </c>
      <c r="AR152" s="259">
        <f t="shared" ref="AR152:AR155" si="287">AO152</f>
        <v>18.457156682878772</v>
      </c>
    </row>
    <row r="153" spans="2:44" outlineLevel="1" x14ac:dyDescent="0.25">
      <c r="B153" s="250" t="s">
        <v>262</v>
      </c>
      <c r="C153" s="251" t="s">
        <v>242</v>
      </c>
      <c r="D153" s="182">
        <f t="shared" si="265"/>
        <v>2000</v>
      </c>
      <c r="E153" s="252" t="s">
        <v>112</v>
      </c>
      <c r="F153" s="252" t="s">
        <v>237</v>
      </c>
      <c r="G153" s="287">
        <v>4563576.0849999981</v>
      </c>
      <c r="H153" s="180" t="s">
        <v>312</v>
      </c>
      <c r="I153" s="135">
        <v>0.75</v>
      </c>
      <c r="J153" s="255">
        <f t="shared" si="205"/>
        <v>0.25</v>
      </c>
      <c r="K153" s="256">
        <f t="shared" ref="K153:K156" si="288">G153*I153</f>
        <v>3422682.0637499988</v>
      </c>
      <c r="L153" s="257">
        <f t="shared" si="206"/>
        <v>1140894.0212499995</v>
      </c>
      <c r="M153" s="462">
        <f>VLOOKUP($H153,'Cost Drivers'!$A$2:$R$66,2,FALSE)</f>
        <v>27071.666666666668</v>
      </c>
      <c r="N153" s="258">
        <f t="shared" si="207"/>
        <v>42.143471818629543</v>
      </c>
      <c r="O153" s="256">
        <f t="shared" si="268"/>
        <v>1132690.0920693062</v>
      </c>
      <c r="P153" s="480">
        <f>VLOOKUP($H153,'Cost Drivers'!$A$2:$R$66,4,FALSE)</f>
        <v>26877</v>
      </c>
      <c r="Q153" s="259">
        <f t="shared" si="269"/>
        <v>42.143471818629543</v>
      </c>
      <c r="R153" s="256">
        <f t="shared" si="270"/>
        <v>1099944.6144662311</v>
      </c>
      <c r="S153" s="182">
        <f>VLOOKUP($H153,'Cost Drivers'!$A$2:$R$66,6,FALSE)</f>
        <v>26100</v>
      </c>
      <c r="T153" s="259">
        <f t="shared" si="271"/>
        <v>42.143471818629543</v>
      </c>
      <c r="U153" s="256">
        <f t="shared" si="272"/>
        <v>1124514.258536492</v>
      </c>
      <c r="V153" s="182">
        <f>VLOOKUP($H153,'Cost Drivers'!$A$2:$R$66,8,FALSE)</f>
        <v>26683</v>
      </c>
      <c r="W153" s="259">
        <f t="shared" si="273"/>
        <v>42.143471818629543</v>
      </c>
      <c r="X153" s="256">
        <f t="shared" si="274"/>
        <v>1058981.1598585232</v>
      </c>
      <c r="Y153" s="182">
        <f>VLOOKUP($H153,'Cost Drivers'!$A$2:$R$66,10,FALSE)</f>
        <v>25128</v>
      </c>
      <c r="Z153" s="259">
        <f t="shared" si="275"/>
        <v>42.143471818629543</v>
      </c>
      <c r="AA153" s="256">
        <f t="shared" si="276"/>
        <v>1108120.4479990453</v>
      </c>
      <c r="AB153" s="182">
        <f>VLOOKUP($H153,'Cost Drivers'!$A$2:$R$66,12,FALSE)</f>
        <v>26294</v>
      </c>
      <c r="AC153" s="259">
        <f t="shared" si="277"/>
        <v>42.143471818629543</v>
      </c>
      <c r="AD153" s="256">
        <f t="shared" si="278"/>
        <v>977054.25064310734</v>
      </c>
      <c r="AE153" s="182">
        <f>VLOOKUP($H153,'Cost Drivers'!$A$2:$R$66,14,FALSE)</f>
        <v>23184</v>
      </c>
      <c r="AF153" s="259">
        <f t="shared" si="279"/>
        <v>42.143471818629543</v>
      </c>
      <c r="AG153" s="256">
        <f t="shared" si="280"/>
        <v>1075374.9703959699</v>
      </c>
      <c r="AH153" s="182">
        <f>VLOOKUP($H153,'Cost Drivers'!$A$2:$R$66,16,FALSE)</f>
        <v>25517</v>
      </c>
      <c r="AI153" s="259">
        <f t="shared" si="281"/>
        <v>42.143471818629543</v>
      </c>
      <c r="AJ153" s="256">
        <f t="shared" si="282"/>
        <v>813200.43221227569</v>
      </c>
      <c r="AK153" s="182">
        <f>VLOOKUP($H153,'Cost Drivers'!$A$2:$R$66,18,FALSE)</f>
        <v>19296</v>
      </c>
      <c r="AL153" s="259">
        <f t="shared" si="283"/>
        <v>42.143471818629543</v>
      </c>
      <c r="AM153" s="256">
        <f t="shared" si="284"/>
        <v>1140908.069073939</v>
      </c>
      <c r="AN153" s="182">
        <f>VLOOKUP($H153,'Cost Drivers'!$A$3:$V$67,20,FALSE)</f>
        <v>27072</v>
      </c>
      <c r="AO153" s="259">
        <f t="shared" si="285"/>
        <v>42.143471818629543</v>
      </c>
      <c r="AP153" s="256">
        <f t="shared" si="286"/>
        <v>1140908.069073939</v>
      </c>
      <c r="AQ153" s="182">
        <f>VLOOKUP($H153,'Cost Drivers'!$A$3:$V$67,22,FALSE)</f>
        <v>27072</v>
      </c>
      <c r="AR153" s="259">
        <f t="shared" si="287"/>
        <v>42.143471818629543</v>
      </c>
    </row>
    <row r="154" spans="2:44" ht="27" outlineLevel="1" x14ac:dyDescent="0.25">
      <c r="B154" s="250" t="s">
        <v>262</v>
      </c>
      <c r="C154" s="251" t="s">
        <v>252</v>
      </c>
      <c r="D154" s="182">
        <f t="shared" si="265"/>
        <v>3000</v>
      </c>
      <c r="E154" s="252" t="s">
        <v>112</v>
      </c>
      <c r="F154" s="252" t="s">
        <v>269</v>
      </c>
      <c r="G154" s="287">
        <v>35682.405000000006</v>
      </c>
      <c r="H154" s="180" t="s">
        <v>312</v>
      </c>
      <c r="I154" s="135">
        <v>0.75</v>
      </c>
      <c r="J154" s="255">
        <f t="shared" ref="J154:J168" si="289">1-I154</f>
        <v>0.25</v>
      </c>
      <c r="K154" s="256">
        <f t="shared" si="288"/>
        <v>26761.803750000006</v>
      </c>
      <c r="L154" s="257">
        <f t="shared" ref="L154:L168" si="290">G154*J154</f>
        <v>8920.6012500000015</v>
      </c>
      <c r="M154" s="462">
        <f>VLOOKUP($H154,'Cost Drivers'!$A$2:$R$66,2,FALSE)</f>
        <v>27071.666666666668</v>
      </c>
      <c r="N154" s="258">
        <f t="shared" ref="N154:N168" si="291">L154/M154</f>
        <v>0.32951799236594231</v>
      </c>
      <c r="O154" s="256">
        <f t="shared" si="268"/>
        <v>8856.4550808194308</v>
      </c>
      <c r="P154" s="480">
        <f>VLOOKUP($H154,'Cost Drivers'!$A$2:$R$66,4,FALSE)</f>
        <v>26877</v>
      </c>
      <c r="Q154" s="259">
        <f t="shared" si="269"/>
        <v>0.32951799236594231</v>
      </c>
      <c r="R154" s="256">
        <f t="shared" si="270"/>
        <v>8600.4196007510945</v>
      </c>
      <c r="S154" s="182">
        <f>VLOOKUP($H154,'Cost Drivers'!$A$2:$R$66,6,FALSE)</f>
        <v>26100</v>
      </c>
      <c r="T154" s="259">
        <f t="shared" si="271"/>
        <v>0.32951799236594231</v>
      </c>
      <c r="U154" s="256">
        <f t="shared" si="272"/>
        <v>8792.5285903004387</v>
      </c>
      <c r="V154" s="182">
        <f>VLOOKUP($H154,'Cost Drivers'!$A$2:$R$66,8,FALSE)</f>
        <v>26683</v>
      </c>
      <c r="W154" s="259">
        <f t="shared" si="273"/>
        <v>0.32951799236594231</v>
      </c>
      <c r="X154" s="256">
        <f t="shared" si="274"/>
        <v>8280.1281121713982</v>
      </c>
      <c r="Y154" s="182">
        <f>VLOOKUP($H154,'Cost Drivers'!$A$2:$R$66,10,FALSE)</f>
        <v>25128</v>
      </c>
      <c r="Z154" s="259">
        <f t="shared" si="275"/>
        <v>0.32951799236594231</v>
      </c>
      <c r="AA154" s="256">
        <f t="shared" si="276"/>
        <v>8664.3460912700866</v>
      </c>
      <c r="AB154" s="182">
        <f>VLOOKUP($H154,'Cost Drivers'!$A$2:$R$66,12,FALSE)</f>
        <v>26294</v>
      </c>
      <c r="AC154" s="259">
        <f t="shared" si="277"/>
        <v>0.32951799236594231</v>
      </c>
      <c r="AD154" s="256">
        <f t="shared" si="278"/>
        <v>7639.5451350120065</v>
      </c>
      <c r="AE154" s="182">
        <f>VLOOKUP($H154,'Cost Drivers'!$A$2:$R$66,14,FALSE)</f>
        <v>23184</v>
      </c>
      <c r="AF154" s="259">
        <f t="shared" si="279"/>
        <v>0.32951799236594231</v>
      </c>
      <c r="AG154" s="256">
        <f t="shared" si="280"/>
        <v>8408.3106112017504</v>
      </c>
      <c r="AH154" s="182">
        <f>VLOOKUP($H154,'Cost Drivers'!$A$2:$R$66,16,FALSE)</f>
        <v>25517</v>
      </c>
      <c r="AI154" s="259">
        <f t="shared" si="281"/>
        <v>0.32951799236594231</v>
      </c>
      <c r="AJ154" s="256">
        <f t="shared" si="282"/>
        <v>6358.3791806932231</v>
      </c>
      <c r="AK154" s="182">
        <f>VLOOKUP($H154,'Cost Drivers'!$A$2:$R$66,18,FALSE)</f>
        <v>19296</v>
      </c>
      <c r="AL154" s="259">
        <f t="shared" si="283"/>
        <v>0.32951799236594231</v>
      </c>
      <c r="AM154" s="256">
        <f t="shared" si="284"/>
        <v>8920.7110893307909</v>
      </c>
      <c r="AN154" s="182">
        <f>VLOOKUP($H154,'Cost Drivers'!$A$3:$V$67,20,FALSE)</f>
        <v>27072</v>
      </c>
      <c r="AO154" s="259">
        <f t="shared" si="285"/>
        <v>0.32951799236594231</v>
      </c>
      <c r="AP154" s="256">
        <f t="shared" si="286"/>
        <v>8920.7110893307909</v>
      </c>
      <c r="AQ154" s="182">
        <f>VLOOKUP($H154,'Cost Drivers'!$A$3:$V$67,22,FALSE)</f>
        <v>27072</v>
      </c>
      <c r="AR154" s="259">
        <f t="shared" si="287"/>
        <v>0.32951799236594231</v>
      </c>
    </row>
    <row r="155" spans="2:44" outlineLevel="1" x14ac:dyDescent="0.25">
      <c r="B155" s="250" t="s">
        <v>262</v>
      </c>
      <c r="C155" s="251" t="s">
        <v>257</v>
      </c>
      <c r="D155" s="182">
        <f t="shared" si="265"/>
        <v>4000</v>
      </c>
      <c r="E155" s="252" t="s">
        <v>112</v>
      </c>
      <c r="F155" s="252" t="s">
        <v>211</v>
      </c>
      <c r="G155" s="287">
        <v>2166181.0049999999</v>
      </c>
      <c r="H155" s="180" t="s">
        <v>93</v>
      </c>
      <c r="I155" s="135">
        <v>1</v>
      </c>
      <c r="J155" s="255">
        <f t="shared" si="289"/>
        <v>0</v>
      </c>
      <c r="K155" s="256">
        <f t="shared" si="288"/>
        <v>2166181.0049999999</v>
      </c>
      <c r="L155" s="257">
        <f t="shared" si="290"/>
        <v>0</v>
      </c>
      <c r="M155" s="462">
        <f>VLOOKUP($H155,'Cost Drivers'!$A$2:$R$66,2,FALSE)</f>
        <v>1</v>
      </c>
      <c r="N155" s="258">
        <f t="shared" si="291"/>
        <v>0</v>
      </c>
      <c r="O155" s="256">
        <f t="shared" si="268"/>
        <v>0</v>
      </c>
      <c r="P155" s="480">
        <f>VLOOKUP($H155,'Cost Drivers'!$A$2:$R$66,4,FALSE)</f>
        <v>1</v>
      </c>
      <c r="Q155" s="259">
        <f t="shared" si="269"/>
        <v>0</v>
      </c>
      <c r="R155" s="256">
        <f t="shared" si="270"/>
        <v>0</v>
      </c>
      <c r="S155" s="182">
        <f>VLOOKUP($H155,'Cost Drivers'!$A$2:$R$66,6,FALSE)</f>
        <v>1</v>
      </c>
      <c r="T155" s="259">
        <f t="shared" si="271"/>
        <v>0</v>
      </c>
      <c r="U155" s="256">
        <f t="shared" si="272"/>
        <v>0</v>
      </c>
      <c r="V155" s="182">
        <f>VLOOKUP($H155,'Cost Drivers'!$A$2:$R$66,8,FALSE)</f>
        <v>1</v>
      </c>
      <c r="W155" s="259">
        <f t="shared" si="273"/>
        <v>0</v>
      </c>
      <c r="X155" s="256">
        <f t="shared" si="274"/>
        <v>0</v>
      </c>
      <c r="Y155" s="182">
        <f>VLOOKUP($H155,'Cost Drivers'!$A$2:$R$66,10,FALSE)</f>
        <v>1</v>
      </c>
      <c r="Z155" s="259">
        <f t="shared" si="275"/>
        <v>0</v>
      </c>
      <c r="AA155" s="256">
        <f t="shared" si="276"/>
        <v>0</v>
      </c>
      <c r="AB155" s="182">
        <f>VLOOKUP($H155,'Cost Drivers'!$A$2:$R$66,12,FALSE)</f>
        <v>1</v>
      </c>
      <c r="AC155" s="259">
        <f t="shared" si="277"/>
        <v>0</v>
      </c>
      <c r="AD155" s="256">
        <f t="shared" si="278"/>
        <v>0</v>
      </c>
      <c r="AE155" s="182">
        <f>VLOOKUP($H155,'Cost Drivers'!$A$2:$R$66,14,FALSE)</f>
        <v>1</v>
      </c>
      <c r="AF155" s="259">
        <f t="shared" si="279"/>
        <v>0</v>
      </c>
      <c r="AG155" s="256">
        <f t="shared" si="280"/>
        <v>0</v>
      </c>
      <c r="AH155" s="182">
        <f>VLOOKUP($H155,'Cost Drivers'!$A$2:$R$66,16,FALSE)</f>
        <v>1</v>
      </c>
      <c r="AI155" s="259">
        <f t="shared" si="281"/>
        <v>0</v>
      </c>
      <c r="AJ155" s="256">
        <f t="shared" si="282"/>
        <v>0</v>
      </c>
      <c r="AK155" s="182">
        <f>VLOOKUP($H155,'Cost Drivers'!$A$2:$R$66,18,FALSE)</f>
        <v>1</v>
      </c>
      <c r="AL155" s="259">
        <f t="shared" si="283"/>
        <v>0</v>
      </c>
      <c r="AM155" s="256">
        <f t="shared" si="284"/>
        <v>0</v>
      </c>
      <c r="AN155" s="182">
        <f>VLOOKUP($H155,'Cost Drivers'!$A$3:$V$67,20,FALSE)</f>
        <v>1</v>
      </c>
      <c r="AO155" s="259">
        <f t="shared" si="285"/>
        <v>0</v>
      </c>
      <c r="AP155" s="256">
        <f t="shared" si="286"/>
        <v>0</v>
      </c>
      <c r="AQ155" s="182">
        <f>VLOOKUP($H155,'Cost Drivers'!$A$3:$V$67,22,FALSE)</f>
        <v>1</v>
      </c>
      <c r="AR155" s="259">
        <f t="shared" si="287"/>
        <v>0</v>
      </c>
    </row>
    <row r="156" spans="2:44" outlineLevel="1" x14ac:dyDescent="0.25">
      <c r="B156" s="250" t="s">
        <v>262</v>
      </c>
      <c r="C156" s="251" t="s">
        <v>258</v>
      </c>
      <c r="D156" s="182">
        <f t="shared" si="265"/>
        <v>5000</v>
      </c>
      <c r="E156" s="252" t="s">
        <v>112</v>
      </c>
      <c r="F156" s="252" t="s">
        <v>212</v>
      </c>
      <c r="G156" s="287">
        <v>0</v>
      </c>
      <c r="H156" s="180" t="s">
        <v>93</v>
      </c>
      <c r="I156" s="135">
        <v>1</v>
      </c>
      <c r="J156" s="255">
        <f t="shared" si="289"/>
        <v>0</v>
      </c>
      <c r="K156" s="256">
        <f t="shared" si="288"/>
        <v>0</v>
      </c>
      <c r="L156" s="257">
        <f t="shared" si="290"/>
        <v>0</v>
      </c>
      <c r="M156" s="462">
        <f>VLOOKUP($H156,'Cost Drivers'!$A$2:$R$66,2,FALSE)</f>
        <v>1</v>
      </c>
      <c r="N156" s="258">
        <f t="shared" si="291"/>
        <v>0</v>
      </c>
      <c r="O156" s="256">
        <f t="shared" si="268"/>
        <v>0</v>
      </c>
      <c r="P156" s="480">
        <f>VLOOKUP($H156,'Cost Drivers'!$A$2:$R$66,4,FALSE)</f>
        <v>1</v>
      </c>
      <c r="Q156" s="259">
        <f>N156</f>
        <v>0</v>
      </c>
      <c r="R156" s="256">
        <f t="shared" si="270"/>
        <v>0</v>
      </c>
      <c r="S156" s="182">
        <f>VLOOKUP($H156,'Cost Drivers'!$A$2:$R$66,6,FALSE)</f>
        <v>1</v>
      </c>
      <c r="T156" s="259">
        <f>Q156</f>
        <v>0</v>
      </c>
      <c r="U156" s="256">
        <f t="shared" si="272"/>
        <v>0</v>
      </c>
      <c r="V156" s="182">
        <f>VLOOKUP($H156,'Cost Drivers'!$A$2:$R$66,8,FALSE)</f>
        <v>1</v>
      </c>
      <c r="W156" s="259">
        <f>T156</f>
        <v>0</v>
      </c>
      <c r="X156" s="256">
        <f t="shared" si="274"/>
        <v>0</v>
      </c>
      <c r="Y156" s="182">
        <f>VLOOKUP($H156,'Cost Drivers'!$A$2:$R$66,10,FALSE)</f>
        <v>1</v>
      </c>
      <c r="Z156" s="259">
        <f>W156</f>
        <v>0</v>
      </c>
      <c r="AA156" s="256">
        <f t="shared" si="276"/>
        <v>0</v>
      </c>
      <c r="AB156" s="182">
        <f>VLOOKUP($H156,'Cost Drivers'!$A$2:$R$66,12,FALSE)</f>
        <v>1</v>
      </c>
      <c r="AC156" s="259">
        <f>Z156</f>
        <v>0</v>
      </c>
      <c r="AD156" s="256">
        <f t="shared" si="278"/>
        <v>0</v>
      </c>
      <c r="AE156" s="182">
        <f>VLOOKUP($H156,'Cost Drivers'!$A$2:$R$66,14,FALSE)</f>
        <v>1</v>
      </c>
      <c r="AF156" s="259">
        <f>AC156</f>
        <v>0</v>
      </c>
      <c r="AG156" s="256">
        <f t="shared" si="280"/>
        <v>0</v>
      </c>
      <c r="AH156" s="182">
        <f>VLOOKUP($H156,'Cost Drivers'!$A$2:$R$66,16,FALSE)</f>
        <v>1</v>
      </c>
      <c r="AI156" s="259">
        <f>AF156</f>
        <v>0</v>
      </c>
      <c r="AJ156" s="256">
        <f t="shared" si="282"/>
        <v>0</v>
      </c>
      <c r="AK156" s="182">
        <f>VLOOKUP($H156,'Cost Drivers'!$A$2:$R$66,18,FALSE)</f>
        <v>1</v>
      </c>
      <c r="AL156" s="259">
        <f>AI156</f>
        <v>0</v>
      </c>
      <c r="AM156" s="256">
        <f t="shared" si="284"/>
        <v>0</v>
      </c>
      <c r="AN156" s="182">
        <f>VLOOKUP($H156,'Cost Drivers'!$A$3:$V$67,20,FALSE)</f>
        <v>1</v>
      </c>
      <c r="AO156" s="259">
        <f>AL156</f>
        <v>0</v>
      </c>
      <c r="AP156" s="256">
        <f t="shared" si="286"/>
        <v>0</v>
      </c>
      <c r="AQ156" s="182">
        <f>VLOOKUP($H156,'Cost Drivers'!$A$3:$V$67,22,FALSE)</f>
        <v>1</v>
      </c>
      <c r="AR156" s="259">
        <f>AO156</f>
        <v>0</v>
      </c>
    </row>
    <row r="157" spans="2:44" s="249" customFormat="1" ht="30" customHeight="1" x14ac:dyDescent="0.25">
      <c r="B157" s="238" t="s">
        <v>263</v>
      </c>
      <c r="C157" s="239" t="s">
        <v>196</v>
      </c>
      <c r="D157" s="182">
        <f t="shared" si="265"/>
        <v>0</v>
      </c>
      <c r="E157" s="240" t="s">
        <v>113</v>
      </c>
      <c r="F157" s="240" t="s">
        <v>235</v>
      </c>
      <c r="G157" s="241">
        <f>SUM(G158:G162)</f>
        <v>12778348.073333334</v>
      </c>
      <c r="H157" s="181" t="s">
        <v>270</v>
      </c>
      <c r="I157" s="242">
        <f>K157/G157</f>
        <v>0.79716309092730187</v>
      </c>
      <c r="J157" s="243">
        <f t="shared" si="289"/>
        <v>0.20283690907269813</v>
      </c>
      <c r="K157" s="241">
        <f>SUMIFS(K$19:K$168,$E$19:$E$168,$E157,$F$19:$F$168,"&lt;&gt;"&amp;$F157,$C$19:$C$168,"1000")+SUMIFS(K$19:K$168,$E$19:$E$168,$E157,$F$19:$F$168,"&lt;&gt;"&amp;$F157,$C$19:$C$168,"2000")+SUMIFS(K$19:K$168,$E$19:$E$168,$E157,$F$19:$F$168,"&lt;&gt;"&amp;$F157,$C$19:$C$168,"3000")+SUMIFS(K$19:K$168,$E$19:$E$168,$E157,$F$19:$F$168,"&lt;&gt;"&amp;$F157,$C$19:$C$168,"4000")+SUMIFS(K$19:K$168,$E$19:$E$168,$E157,$F$19:$F$168,"&lt;&gt;"&amp;$F157,$C$19:$C$168,"5000")</f>
        <v>10186427.447083334</v>
      </c>
      <c r="L157" s="244">
        <f t="shared" si="290"/>
        <v>2591920.6262500011</v>
      </c>
      <c r="M157" s="461">
        <f>VLOOKUP($H157,'Cost Drivers'!$A$2:$R$66,2,FALSE)</f>
        <v>27071.666666666668</v>
      </c>
      <c r="N157" s="245">
        <f t="shared" si="291"/>
        <v>95.742927768885096</v>
      </c>
      <c r="O157" s="246">
        <f>SUMIFS(O$19:O$168, $E$19:$E$168,$E157,$C$19:$C$168,"1000")+SUMIFS(O$19:O$168, $E$19:$E$168,$E157,$C$19:$C$168,"2000")+SUMIFS(O$19:O$168, $E$19:$E$168,$E157,$C$19:$C$168,"3000")+SUMIFS(O$19:O$168, $E$19:$E$168,$E157,$C$19:$C$168,"4000")+SUMIFS(O$19:O$168, $E$19:$E$168,$E157,$C$19:$C$168,"5000")</f>
        <v>2530246.9220106876</v>
      </c>
      <c r="P157" s="479">
        <f>VLOOKUP($H157,'Cost Drivers'!$A$2:$R$66,4,FALSE)</f>
        <v>26877</v>
      </c>
      <c r="Q157" s="248">
        <f>O157/P157</f>
        <v>94.141716784264901</v>
      </c>
      <c r="R157" s="246">
        <f>SUMIFS(R$19:R$168, $E$19:$E$168,$E157,$C$19:$C$168,"1000")+SUMIFS(R$19:R$168, $E$19:$E$168,$E157,$C$19:$C$168,"2000")+SUMIFS(R$19:R$168, $E$19:$E$168,$E157,$C$19:$C$168,"3000")+SUMIFS(R$19:R$168, $E$19:$E$168,$E157,$C$19:$C$168,"4000")+SUMIFS(R$19:R$168, $E$19:$E$168,$E157,$C$19:$C$168,"5000")</f>
        <v>2483323.6552686915</v>
      </c>
      <c r="S157" s="247">
        <f>VLOOKUP($H157,'Cost Drivers'!$A$2:$R$66,6,FALSE)</f>
        <v>26100</v>
      </c>
      <c r="T157" s="248">
        <f>R157/S157</f>
        <v>95.146500201865578</v>
      </c>
      <c r="U157" s="246">
        <f>SUMIFS(U$19:U$168, $E$19:$E$168,$E157,$C$19:$C$168,"1000")+SUMIFS(U$19:U$168, $E$19:$E$168,$E157,$C$19:$C$168,"2000")+SUMIFS(U$19:U$168, $E$19:$E$168,$E157,$C$19:$C$168,"3000")+SUMIFS(U$19:U$168, $E$19:$E$168,$E157,$C$19:$C$168,"4000")+SUMIFS(U$19:U$168, $E$19:$E$168,$E157,$C$19:$C$168,"5000")</f>
        <v>2530246.9220106876</v>
      </c>
      <c r="V157" s="247">
        <f>VLOOKUP($H157,'Cost Drivers'!$A$2:$R$66,8,FALSE)</f>
        <v>26683</v>
      </c>
      <c r="W157" s="248">
        <f>U157/V157</f>
        <v>94.826178541044399</v>
      </c>
      <c r="X157" s="246">
        <f>SUMIFS(X$19:X$168, $E$19:$E$168,$E157,$C$19:$C$168,"1000")+SUMIFS(X$19:X$168, $E$19:$E$168,$E157,$C$19:$C$168,"2000")+SUMIFS(X$19:X$168, $E$19:$E$168,$E157,$C$19:$C$168,"3000")+SUMIFS(X$19:X$168, $E$19:$E$168,$E157,$C$19:$C$168,"4000")+SUMIFS(X$19:X$168, $E$19:$E$168,$E157,$C$19:$C$168,"5000")</f>
        <v>2428665.7841186752</v>
      </c>
      <c r="Y157" s="247">
        <f>VLOOKUP($H157,'Cost Drivers'!$A$2:$R$66,10,FALSE)</f>
        <v>25128</v>
      </c>
      <c r="Z157" s="248">
        <f>X157/Y157</f>
        <v>96.651774280431198</v>
      </c>
      <c r="AA157" s="246">
        <f>SUMIFS(AA$19:AA$168, $E$19:$E$168,$E157,$C$19:$C$168,"1000")+SUMIFS(AA$19:AA$168, $E$19:$E$168,$E157,$C$19:$C$168,"2000")+SUMIFS(AA$19:AA$168, $E$19:$E$168,$E157,$C$19:$C$168,"3000")+SUMIFS(AA$19:AA$168, $E$19:$E$168,$E157,$C$19:$C$168,"4000")+SUMIFS(AA$19:AA$168, $E$19:$E$168,$E157,$C$19:$C$168,"5000")</f>
        <v>2530246.9220106876</v>
      </c>
      <c r="AB157" s="247">
        <f>VLOOKUP($H157,'Cost Drivers'!$A$2:$R$66,12,FALSE)</f>
        <v>26294</v>
      </c>
      <c r="AC157" s="248">
        <f>AA157/AB157</f>
        <v>96.229060698664625</v>
      </c>
      <c r="AD157" s="246">
        <f>SUMIFS(AD$19:AD$168, $E$19:$E$168,$E157,$C$19:$C$168,"1000")+SUMIFS(AD$19:AD$168, $E$19:$E$168,$E157,$C$19:$C$168,"2000")+SUMIFS(AD$19:AD$168, $E$19:$E$168,$E157,$C$19:$C$168,"3000")+SUMIFS(AD$19:AD$168, $E$19:$E$168,$E157,$C$19:$C$168,"4000")+SUMIFS(AD$19:AD$168, $E$19:$E$168,$E157,$C$19:$C$168,"5000")</f>
        <v>2319350.0418186411</v>
      </c>
      <c r="AE157" s="247">
        <f>VLOOKUP($H157,'Cost Drivers'!$A$2:$R$66,14,FALSE)</f>
        <v>23184</v>
      </c>
      <c r="AF157" s="248">
        <f>AD157/AE157</f>
        <v>100.04097833931337</v>
      </c>
      <c r="AG157" s="246">
        <f>SUMIFS(AG$19:AG$168, $E$19:$E$168,$E157,$C$19:$C$168,"1000")+SUMIFS(AG$19:AG$168, $E$19:$E$168,$E157,$C$19:$C$168,"2000")+SUMIFS(AG$19:AG$168, $E$19:$E$168,$E157,$C$19:$C$168,"3000")+SUMIFS(AG$19:AG$168, $E$19:$E$168,$E157,$C$19:$C$168,"4000")+SUMIFS(AG$19:AG$168, $E$19:$E$168,$E157,$C$19:$C$168,"5000")</f>
        <v>2530246.9220106876</v>
      </c>
      <c r="AH157" s="247">
        <f>VLOOKUP($H157,'Cost Drivers'!$A$2:$R$66,16,FALSE)</f>
        <v>25517</v>
      </c>
      <c r="AI157" s="248">
        <f>AG157/AH157</f>
        <v>99.159263315071826</v>
      </c>
      <c r="AJ157" s="246">
        <f>SUMIFS(AJ$19:AJ$168, $E$19:$E$168,$E157,$C$19:$C$168,"1000")+SUMIFS(AJ$19:AJ$168, $E$19:$E$168,$E157,$C$19:$C$168,"2000")+SUMIFS(AJ$19:AJ$168, $E$19:$E$168,$E157,$C$19:$C$168,"3000")+SUMIFS(AJ$19:AJ$168, $E$19:$E$168,$E157,$C$19:$C$168,"4000")+SUMIFS(AJ$19:AJ$168, $E$19:$E$168,$E157,$C$19:$C$168,"5000")</f>
        <v>2100624.8044378702</v>
      </c>
      <c r="AK157" s="247">
        <f>VLOOKUP($H157,'Cost Drivers'!$A$2:$R$66,18,FALSE)</f>
        <v>19296</v>
      </c>
      <c r="AL157" s="248">
        <f>AJ157/AK157</f>
        <v>108.86322576896093</v>
      </c>
      <c r="AM157" s="246">
        <f>SUMIFS(AM$19:AM$168, $E$19:$E$168,$E157,$C$19:$C$168,"1000")+SUMIFS(AM$19:AM$168, $E$19:$E$168,$E157,$C$19:$C$168,"2000")+SUMIFS(AM$19:AM$168, $E$19:$E$168,$E157,$C$19:$C$168,"3000")+SUMIFS(AM$19:AM$168, $E$19:$E$168,$E157,$C$19:$C$168,"4000")+SUMIFS(AM$19:AM$168, $E$19:$E$168,$E157,$C$19:$C$168,"5000")</f>
        <v>2530246.9220106876</v>
      </c>
      <c r="AN157" s="247">
        <f>VLOOKUP($H157,'Cost Drivers'!$A$3:$V$67,20,FALSE)</f>
        <v>27072</v>
      </c>
      <c r="AO157" s="248">
        <f>AM157/AN157</f>
        <v>93.463612662924334</v>
      </c>
      <c r="AP157" s="246">
        <f>SUMIFS(AP$19:AP$168, $E$19:$E$168,$E157,$C$19:$C$168,"1000")+SUMIFS(AP$19:AP$168, $E$19:$E$168,$E157,$C$19:$C$168,"2000")+SUMIFS(AP$19:AP$168, $E$19:$E$168,$E157,$C$19:$C$168,"3000")+SUMIFS(AP$19:AP$168, $E$19:$E$168,$E157,$C$19:$C$168,"4000")+SUMIFS(AP$19:AP$168, $E$19:$E$168,$E157,$C$19:$C$168,"5000")</f>
        <v>2538075.2791994116</v>
      </c>
      <c r="AQ157" s="247">
        <f>VLOOKUP($H157,'Cost Drivers'!$A$3:$V$67,22,FALSE)</f>
        <v>27072</v>
      </c>
      <c r="AR157" s="248">
        <f>AP157/AQ157</f>
        <v>93.752780703287954</v>
      </c>
    </row>
    <row r="158" spans="2:44" outlineLevel="1" x14ac:dyDescent="0.25">
      <c r="B158" s="250" t="s">
        <v>263</v>
      </c>
      <c r="C158" s="251" t="s">
        <v>238</v>
      </c>
      <c r="D158" s="182">
        <f t="shared" si="265"/>
        <v>1000</v>
      </c>
      <c r="E158" s="252" t="s">
        <v>113</v>
      </c>
      <c r="F158" s="252" t="s">
        <v>234</v>
      </c>
      <c r="G158" s="287">
        <v>7691136.5200000005</v>
      </c>
      <c r="H158" s="180" t="s">
        <v>532</v>
      </c>
      <c r="I158" s="135">
        <v>0.75</v>
      </c>
      <c r="J158" s="255">
        <f t="shared" si="289"/>
        <v>0.25</v>
      </c>
      <c r="K158" s="256">
        <f t="shared" ref="K158:K161" si="292">G158*I158</f>
        <v>5768352.3900000006</v>
      </c>
      <c r="L158" s="257">
        <f t="shared" si="290"/>
        <v>1922784.1300000001</v>
      </c>
      <c r="M158" s="462">
        <f>VLOOKUP($H158,'Cost Drivers'!$A$2:$R$66,2,FALSE)</f>
        <v>27646.333333333332</v>
      </c>
      <c r="N158" s="258">
        <f t="shared" si="291"/>
        <v>69.549336138607899</v>
      </c>
      <c r="O158" s="256">
        <f t="shared" ref="O158:O161" si="293">P158*Q158</f>
        <v>1877032.2583768193</v>
      </c>
      <c r="P158" s="480">
        <f>VLOOKUP($H158,'Cost Drivers'!$A$2:$R$66,4,FALSE)</f>
        <v>26988.5</v>
      </c>
      <c r="Q158" s="259">
        <f t="shared" ref="Q158:Q161" si="294">N158</f>
        <v>69.549336138607899</v>
      </c>
      <c r="R158" s="256">
        <f t="shared" ref="R158:R162" si="295">S158*T158</f>
        <v>1842222.815639446</v>
      </c>
      <c r="S158" s="182">
        <f>VLOOKUP($H158,'Cost Drivers'!$A$2:$R$66,6,FALSE)</f>
        <v>26488</v>
      </c>
      <c r="T158" s="259">
        <f t="shared" ref="T158:T161" si="296">Q158</f>
        <v>69.549336138607899</v>
      </c>
      <c r="U158" s="256">
        <f t="shared" ref="U158:U162" si="297">V158*W158</f>
        <v>1877032.2583768193</v>
      </c>
      <c r="V158" s="182">
        <f>VLOOKUP($H158,'Cost Drivers'!$A$2:$R$66,8,FALSE)</f>
        <v>26988.5</v>
      </c>
      <c r="W158" s="259">
        <f t="shared" ref="W158:W161" si="298">T158</f>
        <v>69.549336138607899</v>
      </c>
      <c r="X158" s="256">
        <f t="shared" ref="X158:X162" si="299">Y158*Z158</f>
        <v>1801675.5526706376</v>
      </c>
      <c r="Y158" s="182">
        <f>VLOOKUP($H158,'Cost Drivers'!$A$2:$R$66,10,FALSE)</f>
        <v>25905</v>
      </c>
      <c r="Z158" s="259">
        <f t="shared" ref="Z158:Z161" si="300">W158</f>
        <v>69.549336138607899</v>
      </c>
      <c r="AA158" s="256">
        <f t="shared" ref="AA158:AA162" si="301">AB158*AC158</f>
        <v>1877032.2583768193</v>
      </c>
      <c r="AB158" s="182">
        <f>VLOOKUP($H158,'Cost Drivers'!$A$2:$R$66,12,FALSE)</f>
        <v>26988.5</v>
      </c>
      <c r="AC158" s="259">
        <f t="shared" ref="AC158:AC161" si="302">Z158</f>
        <v>69.549336138607899</v>
      </c>
      <c r="AD158" s="256">
        <f t="shared" ref="AD158:AD162" si="303">AE158*AF158</f>
        <v>1720581.0267330208</v>
      </c>
      <c r="AE158" s="182">
        <f>VLOOKUP($H158,'Cost Drivers'!$A$2:$R$66,14,FALSE)</f>
        <v>24739</v>
      </c>
      <c r="AF158" s="259">
        <f t="shared" ref="AF158:AF161" si="304">AC158</f>
        <v>69.549336138607899</v>
      </c>
      <c r="AG158" s="256">
        <f t="shared" ref="AG158:AG162" si="305">AH158*AI158</f>
        <v>1877032.2583768193</v>
      </c>
      <c r="AH158" s="182">
        <f>VLOOKUP($H158,'Cost Drivers'!$A$2:$R$66,16,FALSE)</f>
        <v>26988.5</v>
      </c>
      <c r="AI158" s="259">
        <f t="shared" ref="AI158:AI161" si="306">AF158</f>
        <v>69.549336138607899</v>
      </c>
      <c r="AJ158" s="256">
        <f t="shared" ref="AJ158:AJ162" si="307">AK158*AL158</f>
        <v>1558322.4255216485</v>
      </c>
      <c r="AK158" s="182">
        <f>VLOOKUP($H158,'Cost Drivers'!$A$2:$R$66,18,FALSE)</f>
        <v>22406</v>
      </c>
      <c r="AL158" s="259">
        <f t="shared" ref="AL158:AL161" si="308">AI158</f>
        <v>69.549336138607899</v>
      </c>
      <c r="AM158" s="256">
        <f t="shared" ref="AM158:AM162" si="309">AN158*AO158</f>
        <v>1877032.2583768193</v>
      </c>
      <c r="AN158" s="182">
        <f>VLOOKUP($H158,'Cost Drivers'!$A$3:$V$67,20,FALSE)</f>
        <v>26988.5</v>
      </c>
      <c r="AO158" s="259">
        <f t="shared" ref="AO158:AO161" si="310">AL158</f>
        <v>69.549336138607899</v>
      </c>
      <c r="AP158" s="256">
        <f t="shared" ref="AP158:AP162" si="311">AQ158*AR158</f>
        <v>1882839.6279443931</v>
      </c>
      <c r="AQ158" s="182">
        <f>VLOOKUP($H158,'Cost Drivers'!$A$3:$V$67,22,FALSE)</f>
        <v>27072</v>
      </c>
      <c r="AR158" s="259">
        <f t="shared" ref="AR158:AR161" si="312">AO158</f>
        <v>69.549336138607899</v>
      </c>
    </row>
    <row r="159" spans="2:44" outlineLevel="1" x14ac:dyDescent="0.25">
      <c r="B159" s="250" t="s">
        <v>263</v>
      </c>
      <c r="C159" s="251" t="s">
        <v>242</v>
      </c>
      <c r="D159" s="182">
        <f t="shared" si="265"/>
        <v>2000</v>
      </c>
      <c r="E159" s="252" t="s">
        <v>113</v>
      </c>
      <c r="F159" s="252" t="s">
        <v>237</v>
      </c>
      <c r="G159" s="287">
        <v>2563987.9116666666</v>
      </c>
      <c r="H159" s="180" t="s">
        <v>532</v>
      </c>
      <c r="I159" s="135">
        <v>0.75</v>
      </c>
      <c r="J159" s="255">
        <f t="shared" si="289"/>
        <v>0.25</v>
      </c>
      <c r="K159" s="256">
        <f t="shared" si="292"/>
        <v>1922990.9337499999</v>
      </c>
      <c r="L159" s="257">
        <f t="shared" si="290"/>
        <v>640996.97791666666</v>
      </c>
      <c r="M159" s="462">
        <f>VLOOKUP($H159,'Cost Drivers'!$A$2:$R$66,2,FALSE)</f>
        <v>27646.333333333332</v>
      </c>
      <c r="N159" s="258">
        <f t="shared" si="291"/>
        <v>23.18560549017953</v>
      </c>
      <c r="O159" s="256">
        <f t="shared" si="293"/>
        <v>625744.71377171029</v>
      </c>
      <c r="P159" s="480">
        <f>VLOOKUP($H159,'Cost Drivers'!$A$2:$R$66,4,FALSE)</f>
        <v>26988.5</v>
      </c>
      <c r="Q159" s="259">
        <f t="shared" si="294"/>
        <v>23.18560549017953</v>
      </c>
      <c r="R159" s="256">
        <f t="shared" si="295"/>
        <v>614140.31822387537</v>
      </c>
      <c r="S159" s="182">
        <f>VLOOKUP($H159,'Cost Drivers'!$A$2:$R$66,6,FALSE)</f>
        <v>26488</v>
      </c>
      <c r="T159" s="259">
        <f t="shared" si="296"/>
        <v>23.18560549017953</v>
      </c>
      <c r="U159" s="256">
        <f t="shared" si="297"/>
        <v>625744.71377171029</v>
      </c>
      <c r="V159" s="182">
        <f>VLOOKUP($H159,'Cost Drivers'!$A$2:$R$66,8,FALSE)</f>
        <v>26988.5</v>
      </c>
      <c r="W159" s="259">
        <f t="shared" si="298"/>
        <v>23.18560549017953</v>
      </c>
      <c r="X159" s="256">
        <f t="shared" si="299"/>
        <v>600623.11022310075</v>
      </c>
      <c r="Y159" s="182">
        <f>VLOOKUP($H159,'Cost Drivers'!$A$2:$R$66,10,FALSE)</f>
        <v>25905</v>
      </c>
      <c r="Z159" s="259">
        <f t="shared" si="300"/>
        <v>23.18560549017953</v>
      </c>
      <c r="AA159" s="256">
        <f t="shared" si="301"/>
        <v>625744.71377171029</v>
      </c>
      <c r="AB159" s="182">
        <f>VLOOKUP($H159,'Cost Drivers'!$A$2:$R$66,12,FALSE)</f>
        <v>26988.5</v>
      </c>
      <c r="AC159" s="259">
        <f t="shared" si="302"/>
        <v>23.18560549017953</v>
      </c>
      <c r="AD159" s="256">
        <f t="shared" si="303"/>
        <v>573588.69422155141</v>
      </c>
      <c r="AE159" s="182">
        <f>VLOOKUP($H159,'Cost Drivers'!$A$2:$R$66,14,FALSE)</f>
        <v>24739</v>
      </c>
      <c r="AF159" s="259">
        <f t="shared" si="304"/>
        <v>23.18560549017953</v>
      </c>
      <c r="AG159" s="256">
        <f t="shared" si="305"/>
        <v>625744.71377171029</v>
      </c>
      <c r="AH159" s="182">
        <f>VLOOKUP($H159,'Cost Drivers'!$A$2:$R$66,16,FALSE)</f>
        <v>26988.5</v>
      </c>
      <c r="AI159" s="259">
        <f t="shared" si="306"/>
        <v>23.18560549017953</v>
      </c>
      <c r="AJ159" s="256">
        <f t="shared" si="307"/>
        <v>519496.67661296256</v>
      </c>
      <c r="AK159" s="182">
        <f>VLOOKUP($H159,'Cost Drivers'!$A$2:$R$66,18,FALSE)</f>
        <v>22406</v>
      </c>
      <c r="AL159" s="259">
        <f t="shared" si="308"/>
        <v>23.18560549017953</v>
      </c>
      <c r="AM159" s="256">
        <f t="shared" si="309"/>
        <v>625744.71377171029</v>
      </c>
      <c r="AN159" s="182">
        <f>VLOOKUP($H159,'Cost Drivers'!$A$3:$V$67,20,FALSE)</f>
        <v>26988.5</v>
      </c>
      <c r="AO159" s="259">
        <f t="shared" si="310"/>
        <v>23.18560549017953</v>
      </c>
      <c r="AP159" s="256">
        <f t="shared" si="311"/>
        <v>627680.71183014021</v>
      </c>
      <c r="AQ159" s="182">
        <f>VLOOKUP($H159,'Cost Drivers'!$A$3:$V$67,22,FALSE)</f>
        <v>27072</v>
      </c>
      <c r="AR159" s="259">
        <f t="shared" si="312"/>
        <v>23.18560549017953</v>
      </c>
    </row>
    <row r="160" spans="2:44" ht="27" outlineLevel="1" x14ac:dyDescent="0.25">
      <c r="B160" s="250" t="s">
        <v>263</v>
      </c>
      <c r="C160" s="251" t="s">
        <v>252</v>
      </c>
      <c r="D160" s="182">
        <f t="shared" si="265"/>
        <v>3000</v>
      </c>
      <c r="E160" s="252" t="s">
        <v>113</v>
      </c>
      <c r="F160" s="252" t="s">
        <v>269</v>
      </c>
      <c r="G160" s="287">
        <v>112558.07333333332</v>
      </c>
      <c r="H160" s="180" t="s">
        <v>532</v>
      </c>
      <c r="I160" s="135">
        <v>0.75</v>
      </c>
      <c r="J160" s="255">
        <f t="shared" si="289"/>
        <v>0.25</v>
      </c>
      <c r="K160" s="256">
        <f t="shared" si="292"/>
        <v>84418.554999999993</v>
      </c>
      <c r="L160" s="257">
        <f t="shared" si="290"/>
        <v>28139.51833333333</v>
      </c>
      <c r="M160" s="462">
        <f>VLOOKUP($H160,'Cost Drivers'!$A$2:$R$66,2,FALSE)</f>
        <v>27646.333333333332</v>
      </c>
      <c r="N160" s="258">
        <f t="shared" si="291"/>
        <v>1.0178390745005363</v>
      </c>
      <c r="O160" s="256">
        <f t="shared" si="293"/>
        <v>27469.949862157726</v>
      </c>
      <c r="P160" s="480">
        <f>VLOOKUP($H160,'Cost Drivers'!$A$2:$R$66,4,FALSE)</f>
        <v>26988.5</v>
      </c>
      <c r="Q160" s="259">
        <f t="shared" si="294"/>
        <v>1.0178390745005363</v>
      </c>
      <c r="R160" s="256">
        <f t="shared" si="295"/>
        <v>26960.521405370208</v>
      </c>
      <c r="S160" s="182">
        <f>VLOOKUP($H160,'Cost Drivers'!$A$2:$R$66,6,FALSE)</f>
        <v>26488</v>
      </c>
      <c r="T160" s="259">
        <f t="shared" si="296"/>
        <v>1.0178390745005363</v>
      </c>
      <c r="U160" s="256">
        <f t="shared" si="297"/>
        <v>27469.949862157726</v>
      </c>
      <c r="V160" s="182">
        <f>VLOOKUP($H160,'Cost Drivers'!$A$2:$R$66,8,FALSE)</f>
        <v>26988.5</v>
      </c>
      <c r="W160" s="259">
        <f t="shared" si="298"/>
        <v>1.0178390745005363</v>
      </c>
      <c r="X160" s="256">
        <f t="shared" si="299"/>
        <v>26367.121224936393</v>
      </c>
      <c r="Y160" s="182">
        <f>VLOOKUP($H160,'Cost Drivers'!$A$2:$R$66,10,FALSE)</f>
        <v>25905</v>
      </c>
      <c r="Z160" s="259">
        <f t="shared" si="300"/>
        <v>1.0178390745005363</v>
      </c>
      <c r="AA160" s="256">
        <f t="shared" si="301"/>
        <v>27469.949862157726</v>
      </c>
      <c r="AB160" s="182">
        <f>VLOOKUP($H160,'Cost Drivers'!$A$2:$R$66,12,FALSE)</f>
        <v>26988.5</v>
      </c>
      <c r="AC160" s="259">
        <f t="shared" si="302"/>
        <v>1.0178390745005363</v>
      </c>
      <c r="AD160" s="256">
        <f t="shared" si="303"/>
        <v>25180.32086406877</v>
      </c>
      <c r="AE160" s="182">
        <f>VLOOKUP($H160,'Cost Drivers'!$A$2:$R$66,14,FALSE)</f>
        <v>24739</v>
      </c>
      <c r="AF160" s="259">
        <f t="shared" si="304"/>
        <v>1.0178390745005363</v>
      </c>
      <c r="AG160" s="256">
        <f t="shared" si="305"/>
        <v>27469.949862157726</v>
      </c>
      <c r="AH160" s="182">
        <f>VLOOKUP($H160,'Cost Drivers'!$A$2:$R$66,16,FALSE)</f>
        <v>26988.5</v>
      </c>
      <c r="AI160" s="259">
        <f t="shared" si="306"/>
        <v>1.0178390745005363</v>
      </c>
      <c r="AJ160" s="256">
        <f t="shared" si="307"/>
        <v>22805.702303259019</v>
      </c>
      <c r="AK160" s="182">
        <f>VLOOKUP($H160,'Cost Drivers'!$A$2:$R$66,18,FALSE)</f>
        <v>22406</v>
      </c>
      <c r="AL160" s="259">
        <f t="shared" si="308"/>
        <v>1.0178390745005363</v>
      </c>
      <c r="AM160" s="256">
        <f t="shared" si="309"/>
        <v>27469.949862157726</v>
      </c>
      <c r="AN160" s="182">
        <f>VLOOKUP($H160,'Cost Drivers'!$A$3:$V$67,20,FALSE)</f>
        <v>26988.5</v>
      </c>
      <c r="AO160" s="259">
        <f t="shared" si="310"/>
        <v>1.0178390745005363</v>
      </c>
      <c r="AP160" s="256">
        <f t="shared" si="311"/>
        <v>27554.939424878521</v>
      </c>
      <c r="AQ160" s="182">
        <f>VLOOKUP($H160,'Cost Drivers'!$A$3:$V$67,22,FALSE)</f>
        <v>27072</v>
      </c>
      <c r="AR160" s="259">
        <f t="shared" si="312"/>
        <v>1.0178390745005363</v>
      </c>
    </row>
    <row r="161" spans="2:44" outlineLevel="1" x14ac:dyDescent="0.25">
      <c r="B161" s="250" t="s">
        <v>263</v>
      </c>
      <c r="C161" s="251" t="s">
        <v>257</v>
      </c>
      <c r="D161" s="182">
        <f t="shared" si="265"/>
        <v>4000</v>
      </c>
      <c r="E161" s="252" t="s">
        <v>113</v>
      </c>
      <c r="F161" s="252" t="s">
        <v>211</v>
      </c>
      <c r="G161" s="287">
        <v>0</v>
      </c>
      <c r="H161" s="180" t="s">
        <v>93</v>
      </c>
      <c r="I161" s="135">
        <v>1</v>
      </c>
      <c r="J161" s="255">
        <f t="shared" si="289"/>
        <v>0</v>
      </c>
      <c r="K161" s="256">
        <f t="shared" si="292"/>
        <v>0</v>
      </c>
      <c r="L161" s="257">
        <f t="shared" si="290"/>
        <v>0</v>
      </c>
      <c r="M161" s="462">
        <f>VLOOKUP($H161,'Cost Drivers'!$A$2:$R$66,2,FALSE)</f>
        <v>1</v>
      </c>
      <c r="N161" s="258">
        <f t="shared" si="291"/>
        <v>0</v>
      </c>
      <c r="O161" s="256">
        <f t="shared" si="293"/>
        <v>0</v>
      </c>
      <c r="P161" s="480">
        <f>VLOOKUP($H161,'Cost Drivers'!$A$2:$R$66,4,FALSE)</f>
        <v>1</v>
      </c>
      <c r="Q161" s="259">
        <f t="shared" si="294"/>
        <v>0</v>
      </c>
      <c r="R161" s="256">
        <f t="shared" si="295"/>
        <v>0</v>
      </c>
      <c r="S161" s="182">
        <f>VLOOKUP($H161,'Cost Drivers'!$A$2:$R$66,6,FALSE)</f>
        <v>1</v>
      </c>
      <c r="T161" s="259">
        <f t="shared" si="296"/>
        <v>0</v>
      </c>
      <c r="U161" s="256">
        <f t="shared" si="297"/>
        <v>0</v>
      </c>
      <c r="V161" s="182">
        <f>VLOOKUP($H161,'Cost Drivers'!$A$2:$R$66,8,FALSE)</f>
        <v>1</v>
      </c>
      <c r="W161" s="259">
        <f t="shared" si="298"/>
        <v>0</v>
      </c>
      <c r="X161" s="256">
        <f t="shared" si="299"/>
        <v>0</v>
      </c>
      <c r="Y161" s="182">
        <f>VLOOKUP($H161,'Cost Drivers'!$A$2:$R$66,10,FALSE)</f>
        <v>1</v>
      </c>
      <c r="Z161" s="259">
        <f t="shared" si="300"/>
        <v>0</v>
      </c>
      <c r="AA161" s="256">
        <f t="shared" si="301"/>
        <v>0</v>
      </c>
      <c r="AB161" s="182">
        <f>VLOOKUP($H161,'Cost Drivers'!$A$2:$R$66,12,FALSE)</f>
        <v>1</v>
      </c>
      <c r="AC161" s="259">
        <f t="shared" si="302"/>
        <v>0</v>
      </c>
      <c r="AD161" s="256">
        <f t="shared" si="303"/>
        <v>0</v>
      </c>
      <c r="AE161" s="182">
        <f>VLOOKUP($H161,'Cost Drivers'!$A$2:$R$66,14,FALSE)</f>
        <v>1</v>
      </c>
      <c r="AF161" s="259">
        <f t="shared" si="304"/>
        <v>0</v>
      </c>
      <c r="AG161" s="256">
        <f t="shared" si="305"/>
        <v>0</v>
      </c>
      <c r="AH161" s="182">
        <f>VLOOKUP($H161,'Cost Drivers'!$A$2:$R$66,16,FALSE)</f>
        <v>1</v>
      </c>
      <c r="AI161" s="259">
        <f t="shared" si="306"/>
        <v>0</v>
      </c>
      <c r="AJ161" s="256">
        <f t="shared" si="307"/>
        <v>0</v>
      </c>
      <c r="AK161" s="182">
        <f>VLOOKUP($H161,'Cost Drivers'!$A$2:$R$66,18,FALSE)</f>
        <v>1</v>
      </c>
      <c r="AL161" s="259">
        <f t="shared" si="308"/>
        <v>0</v>
      </c>
      <c r="AM161" s="256">
        <f t="shared" si="309"/>
        <v>0</v>
      </c>
      <c r="AN161" s="182">
        <f>VLOOKUP($H161,'Cost Drivers'!$A$3:$V$67,20,FALSE)</f>
        <v>1</v>
      </c>
      <c r="AO161" s="259">
        <f t="shared" si="310"/>
        <v>0</v>
      </c>
      <c r="AP161" s="256">
        <f t="shared" si="311"/>
        <v>0</v>
      </c>
      <c r="AQ161" s="182">
        <f>VLOOKUP($H161,'Cost Drivers'!$A$3:$V$67,22,FALSE)</f>
        <v>1</v>
      </c>
      <c r="AR161" s="259">
        <f t="shared" si="312"/>
        <v>0</v>
      </c>
    </row>
    <row r="162" spans="2:44" outlineLevel="1" x14ac:dyDescent="0.25">
      <c r="B162" s="250" t="s">
        <v>263</v>
      </c>
      <c r="C162" s="251" t="s">
        <v>258</v>
      </c>
      <c r="D162" s="182">
        <f t="shared" si="265"/>
        <v>5000</v>
      </c>
      <c r="E162" s="252" t="s">
        <v>113</v>
      </c>
      <c r="F162" s="252" t="s">
        <v>212</v>
      </c>
      <c r="G162" s="287">
        <v>2410665.5683333338</v>
      </c>
      <c r="H162" s="180" t="s">
        <v>93</v>
      </c>
      <c r="I162" s="135">
        <v>1</v>
      </c>
      <c r="J162" s="255">
        <f t="shared" si="289"/>
        <v>0</v>
      </c>
      <c r="K162" s="256">
        <f t="shared" ref="K162" si="313">G162*I162</f>
        <v>2410665.5683333338</v>
      </c>
      <c r="L162" s="257">
        <f t="shared" si="290"/>
        <v>0</v>
      </c>
      <c r="M162" s="462">
        <f>VLOOKUP($H162,'Cost Drivers'!$A$2:$R$66,2,FALSE)</f>
        <v>1</v>
      </c>
      <c r="N162" s="258">
        <f t="shared" si="291"/>
        <v>0</v>
      </c>
      <c r="O162" s="256">
        <f t="shared" ref="O162" si="314">P162*Q162</f>
        <v>0</v>
      </c>
      <c r="P162" s="480">
        <f>VLOOKUP($H162,'Cost Drivers'!$A$2:$R$66,4,FALSE)</f>
        <v>1</v>
      </c>
      <c r="Q162" s="259">
        <f>N162</f>
        <v>0</v>
      </c>
      <c r="R162" s="256">
        <f t="shared" si="295"/>
        <v>0</v>
      </c>
      <c r="S162" s="182">
        <f>VLOOKUP($H162,'Cost Drivers'!$A$2:$R$66,6,FALSE)</f>
        <v>1</v>
      </c>
      <c r="T162" s="259">
        <f>Q162</f>
        <v>0</v>
      </c>
      <c r="U162" s="256">
        <f t="shared" si="297"/>
        <v>0</v>
      </c>
      <c r="V162" s="182">
        <f>VLOOKUP($H162,'Cost Drivers'!$A$2:$R$66,8,FALSE)</f>
        <v>1</v>
      </c>
      <c r="W162" s="259">
        <f>T162</f>
        <v>0</v>
      </c>
      <c r="X162" s="256">
        <f t="shared" si="299"/>
        <v>0</v>
      </c>
      <c r="Y162" s="182">
        <f>VLOOKUP($H162,'Cost Drivers'!$A$2:$R$66,10,FALSE)</f>
        <v>1</v>
      </c>
      <c r="Z162" s="259">
        <f>W162</f>
        <v>0</v>
      </c>
      <c r="AA162" s="256">
        <f t="shared" si="301"/>
        <v>0</v>
      </c>
      <c r="AB162" s="182">
        <f>VLOOKUP($H162,'Cost Drivers'!$A$2:$R$66,12,FALSE)</f>
        <v>1</v>
      </c>
      <c r="AC162" s="259">
        <f>Z162</f>
        <v>0</v>
      </c>
      <c r="AD162" s="256">
        <f t="shared" si="303"/>
        <v>0</v>
      </c>
      <c r="AE162" s="182">
        <f>VLOOKUP($H162,'Cost Drivers'!$A$2:$R$66,14,FALSE)</f>
        <v>1</v>
      </c>
      <c r="AF162" s="259">
        <f>AC162</f>
        <v>0</v>
      </c>
      <c r="AG162" s="256">
        <f t="shared" si="305"/>
        <v>0</v>
      </c>
      <c r="AH162" s="182">
        <f>VLOOKUP($H162,'Cost Drivers'!$A$2:$R$66,16,FALSE)</f>
        <v>1</v>
      </c>
      <c r="AI162" s="259">
        <f>AF162</f>
        <v>0</v>
      </c>
      <c r="AJ162" s="256">
        <f t="shared" si="307"/>
        <v>0</v>
      </c>
      <c r="AK162" s="182">
        <f>VLOOKUP($H162,'Cost Drivers'!$A$2:$R$66,18,FALSE)</f>
        <v>1</v>
      </c>
      <c r="AL162" s="259">
        <f>AI162</f>
        <v>0</v>
      </c>
      <c r="AM162" s="256">
        <f t="shared" si="309"/>
        <v>0</v>
      </c>
      <c r="AN162" s="182">
        <f>VLOOKUP($H162,'Cost Drivers'!$A$3:$V$67,20,FALSE)</f>
        <v>1</v>
      </c>
      <c r="AO162" s="259">
        <f>AL162</f>
        <v>0</v>
      </c>
      <c r="AP162" s="256">
        <f t="shared" si="311"/>
        <v>0</v>
      </c>
      <c r="AQ162" s="182">
        <f>VLOOKUP($H162,'Cost Drivers'!$A$3:$V$67,22,FALSE)</f>
        <v>1</v>
      </c>
      <c r="AR162" s="259">
        <f>AO162</f>
        <v>0</v>
      </c>
    </row>
    <row r="163" spans="2:44" s="249" customFormat="1" ht="30" customHeight="1" x14ac:dyDescent="0.25">
      <c r="B163" s="238" t="s">
        <v>264</v>
      </c>
      <c r="C163" s="239" t="s">
        <v>196</v>
      </c>
      <c r="D163" s="182">
        <f t="shared" ref="D163:D168" si="315">FLOOR(LEFT(C163,4), 1000)</f>
        <v>0</v>
      </c>
      <c r="E163" s="240" t="s">
        <v>114</v>
      </c>
      <c r="F163" s="240" t="s">
        <v>235</v>
      </c>
      <c r="G163" s="241">
        <f>SUM(G164:G168)</f>
        <v>56522172.885000005</v>
      </c>
      <c r="H163" s="181" t="s">
        <v>270</v>
      </c>
      <c r="I163" s="242">
        <f>K163/G163</f>
        <v>1</v>
      </c>
      <c r="J163" s="243">
        <f t="shared" si="289"/>
        <v>0</v>
      </c>
      <c r="K163" s="241">
        <f>SUMIFS(K$19:K$168,$E$19:$E$168,$E163,$F$19:$F$168,"&lt;&gt;"&amp;$F163,$C$19:$C$168,"1000")+SUMIFS(K$19:K$168,$E$19:$E$168,$E163,$F$19:$F$168,"&lt;&gt;"&amp;$F163,$C$19:$C$168,"2000")+SUMIFS(K$19:K$168,$E$19:$E$168,$E163,$F$19:$F$168,"&lt;&gt;"&amp;$F163,$C$19:$C$168,"3000")+SUMIFS(K$19:K$168,$E$19:$E$168,$E163,$F$19:$F$168,"&lt;&gt;"&amp;$F163,$C$19:$C$168,"4000")+SUMIFS(K$19:K$168,$E$19:$E$168,$E163,$F$19:$F$168,"&lt;&gt;"&amp;$F163,$C$19:$C$168,"5000")</f>
        <v>56522172.885000005</v>
      </c>
      <c r="L163" s="244">
        <f t="shared" si="290"/>
        <v>0</v>
      </c>
      <c r="M163" s="461">
        <f>VLOOKUP($H163,'Cost Drivers'!$A$2:$R$66,2,FALSE)</f>
        <v>27071.666666666668</v>
      </c>
      <c r="N163" s="245">
        <f t="shared" si="291"/>
        <v>0</v>
      </c>
      <c r="O163" s="246">
        <f>SUMIFS(O$19:O$168, $E$19:$E$168,$E163,$C$19:$C$168,"1000")+SUMIFS(O$19:O$168, $E$19:$E$168,$E163,$C$19:$C$168,"2000")+SUMIFS(O$19:O$168, $E$19:$E$168,$E163,$C$19:$C$168,"3000")+SUMIFS(O$19:O$168, $E$19:$E$168,$E163,$C$19:$C$168,"4000")+SUMIFS(O$19:O$168, $E$19:$E$168,$E163,$C$19:$C$168,"5000")</f>
        <v>0</v>
      </c>
      <c r="P163" s="479">
        <f>VLOOKUP($H163,'Cost Drivers'!$A$2:$R$66,4,FALSE)</f>
        <v>26877</v>
      </c>
      <c r="Q163" s="248">
        <f>O163/P163</f>
        <v>0</v>
      </c>
      <c r="R163" s="246">
        <f>SUMIFS(R$19:R$168, $E$19:$E$168,$E163,$C$19:$C$168,"1000")+SUMIFS(R$19:R$168, $E$19:$E$168,$E163,$C$19:$C$168,"2000")+SUMIFS(R$19:R$168, $E$19:$E$168,$E163,$C$19:$C$168,"3000")+SUMIFS(R$19:R$168, $E$19:$E$168,$E163,$C$19:$C$168,"4000")+SUMIFS(R$19:R$168, $E$19:$E$168,$E163,$C$19:$C$168,"5000")</f>
        <v>0</v>
      </c>
      <c r="S163" s="247">
        <f>VLOOKUP($H163,'Cost Drivers'!$A$2:$R$66,6,FALSE)</f>
        <v>26100</v>
      </c>
      <c r="T163" s="248">
        <f>R163/S163</f>
        <v>0</v>
      </c>
      <c r="U163" s="246">
        <f>SUMIFS(U$19:U$168, $E$19:$E$168,$E163,$C$19:$C$168,"1000")+SUMIFS(U$19:U$168, $E$19:$E$168,$E163,$C$19:$C$168,"2000")+SUMIFS(U$19:U$168, $E$19:$E$168,$E163,$C$19:$C$168,"3000")+SUMIFS(U$19:U$168, $E$19:$E$168,$E163,$C$19:$C$168,"4000")+SUMIFS(U$19:U$168, $E$19:$E$168,$E163,$C$19:$C$168,"5000")</f>
        <v>0</v>
      </c>
      <c r="V163" s="247">
        <f>VLOOKUP($H163,'Cost Drivers'!$A$2:$R$66,8,FALSE)</f>
        <v>26683</v>
      </c>
      <c r="W163" s="248">
        <f>U163/V163</f>
        <v>0</v>
      </c>
      <c r="X163" s="246">
        <f>SUMIFS(X$19:X$168, $E$19:$E$168,$E163,$C$19:$C$168,"1000")+SUMIFS(X$19:X$168, $E$19:$E$168,$E163,$C$19:$C$168,"2000")+SUMIFS(X$19:X$168, $E$19:$E$168,$E163,$C$19:$C$168,"3000")+SUMIFS(X$19:X$168, $E$19:$E$168,$E163,$C$19:$C$168,"4000")+SUMIFS(X$19:X$168, $E$19:$E$168,$E163,$C$19:$C$168,"5000")</f>
        <v>0</v>
      </c>
      <c r="Y163" s="247">
        <f>VLOOKUP($H163,'Cost Drivers'!$A$2:$R$66,10,FALSE)</f>
        <v>25128</v>
      </c>
      <c r="Z163" s="248">
        <f>X163/Y163</f>
        <v>0</v>
      </c>
      <c r="AA163" s="246">
        <f>SUMIFS(AA$19:AA$168, $E$19:$E$168,$E163,$C$19:$C$168,"1000")+SUMIFS(AA$19:AA$168, $E$19:$E$168,$E163,$C$19:$C$168,"2000")+SUMIFS(AA$19:AA$168, $E$19:$E$168,$E163,$C$19:$C$168,"3000")+SUMIFS(AA$19:AA$168, $E$19:$E$168,$E163,$C$19:$C$168,"4000")+SUMIFS(AA$19:AA$168, $E$19:$E$168,$E163,$C$19:$C$168,"5000")</f>
        <v>0</v>
      </c>
      <c r="AB163" s="247">
        <f>VLOOKUP($H163,'Cost Drivers'!$A$2:$R$66,12,FALSE)</f>
        <v>26294</v>
      </c>
      <c r="AC163" s="248">
        <f>AA163/AB163</f>
        <v>0</v>
      </c>
      <c r="AD163" s="246">
        <f>SUMIFS(AD$19:AD$168, $E$19:$E$168,$E163,$C$19:$C$168,"1000")+SUMIFS(AD$19:AD$168, $E$19:$E$168,$E163,$C$19:$C$168,"2000")+SUMIFS(AD$19:AD$168, $E$19:$E$168,$E163,$C$19:$C$168,"3000")+SUMIFS(AD$19:AD$168, $E$19:$E$168,$E163,$C$19:$C$168,"4000")+SUMIFS(AD$19:AD$168, $E$19:$E$168,$E163,$C$19:$C$168,"5000")</f>
        <v>0</v>
      </c>
      <c r="AE163" s="247">
        <f>VLOOKUP($H163,'Cost Drivers'!$A$2:$R$66,14,FALSE)</f>
        <v>23184</v>
      </c>
      <c r="AF163" s="248">
        <f>AD163/AE163</f>
        <v>0</v>
      </c>
      <c r="AG163" s="246">
        <f>SUMIFS(AG$19:AG$168, $E$19:$E$168,$E163,$C$19:$C$168,"1000")+SUMIFS(AG$19:AG$168, $E$19:$E$168,$E163,$C$19:$C$168,"2000")+SUMIFS(AG$19:AG$168, $E$19:$E$168,$E163,$C$19:$C$168,"3000")+SUMIFS(AG$19:AG$168, $E$19:$E$168,$E163,$C$19:$C$168,"4000")+SUMIFS(AG$19:AG$168, $E$19:$E$168,$E163,$C$19:$C$168,"5000")</f>
        <v>0</v>
      </c>
      <c r="AH163" s="247">
        <f>VLOOKUP($H163,'Cost Drivers'!$A$2:$R$66,16,FALSE)</f>
        <v>25517</v>
      </c>
      <c r="AI163" s="248">
        <f>AG163/AH163</f>
        <v>0</v>
      </c>
      <c r="AJ163" s="246">
        <f>SUMIFS(AJ$19:AJ$168, $E$19:$E$168,$E163,$C$19:$C$168,"1000")+SUMIFS(AJ$19:AJ$168, $E$19:$E$168,$E163,$C$19:$C$168,"2000")+SUMIFS(AJ$19:AJ$168, $E$19:$E$168,$E163,$C$19:$C$168,"3000")+SUMIFS(AJ$19:AJ$168, $E$19:$E$168,$E163,$C$19:$C$168,"4000")+SUMIFS(AJ$19:AJ$168, $E$19:$E$168,$E163,$C$19:$C$168,"5000")</f>
        <v>0</v>
      </c>
      <c r="AK163" s="247">
        <f>VLOOKUP($H163,'Cost Drivers'!$A$2:$R$66,18,FALSE)</f>
        <v>19296</v>
      </c>
      <c r="AL163" s="248">
        <f>AJ163/AK163</f>
        <v>0</v>
      </c>
      <c r="AM163" s="246">
        <f>SUMIFS(AM$19:AM$168, $E$19:$E$168,$E163,$C$19:$C$168,"1000")+SUMIFS(AM$19:AM$168, $E$19:$E$168,$E163,$C$19:$C$168,"2000")+SUMIFS(AM$19:AM$168, $E$19:$E$168,$E163,$C$19:$C$168,"3000")+SUMIFS(AM$19:AM$168, $E$19:$E$168,$E163,$C$19:$C$168,"4000")+SUMIFS(AM$19:AM$168, $E$19:$E$168,$E163,$C$19:$C$168,"5000")</f>
        <v>0</v>
      </c>
      <c r="AN163" s="247">
        <f>VLOOKUP($H163,'Cost Drivers'!$A$3:$V$67,20,FALSE)</f>
        <v>27072</v>
      </c>
      <c r="AO163" s="248">
        <f>AM163/AN163</f>
        <v>0</v>
      </c>
      <c r="AP163" s="246">
        <f>SUMIFS(AP$19:AP$168, $E$19:$E$168,$E163,$C$19:$C$168,"1000")+SUMIFS(AP$19:AP$168, $E$19:$E$168,$E163,$C$19:$C$168,"2000")+SUMIFS(AP$19:AP$168, $E$19:$E$168,$E163,$C$19:$C$168,"3000")+SUMIFS(AP$19:AP$168, $E$19:$E$168,$E163,$C$19:$C$168,"4000")+SUMIFS(AP$19:AP$168, $E$19:$E$168,$E163,$C$19:$C$168,"5000")</f>
        <v>0</v>
      </c>
      <c r="AQ163" s="247">
        <f>VLOOKUP($H163,'Cost Drivers'!$A$3:$V$67,22,FALSE)</f>
        <v>27072</v>
      </c>
      <c r="AR163" s="248">
        <f>AP163/AQ163</f>
        <v>0</v>
      </c>
    </row>
    <row r="164" spans="2:44" outlineLevel="1" x14ac:dyDescent="0.25">
      <c r="B164" s="250" t="s">
        <v>264</v>
      </c>
      <c r="C164" s="251" t="s">
        <v>238</v>
      </c>
      <c r="D164" s="182">
        <f t="shared" si="315"/>
        <v>1000</v>
      </c>
      <c r="E164" s="252" t="s">
        <v>114</v>
      </c>
      <c r="F164" s="252" t="s">
        <v>234</v>
      </c>
      <c r="G164" s="287">
        <v>276989.83499999996</v>
      </c>
      <c r="H164" s="180" t="s">
        <v>93</v>
      </c>
      <c r="I164" s="135">
        <v>1</v>
      </c>
      <c r="J164" s="255">
        <f t="shared" si="289"/>
        <v>0</v>
      </c>
      <c r="K164" s="256">
        <f t="shared" ref="K164:K167" si="316">G164*I164</f>
        <v>276989.83499999996</v>
      </c>
      <c r="L164" s="257">
        <f t="shared" si="290"/>
        <v>0</v>
      </c>
      <c r="M164" s="462">
        <f>VLOOKUP($H164,'Cost Drivers'!$A$2:$R$66,2,FALSE)</f>
        <v>1</v>
      </c>
      <c r="N164" s="258">
        <f t="shared" si="291"/>
        <v>0</v>
      </c>
      <c r="O164" s="256">
        <f t="shared" ref="O164:O166" si="317">P164*Q164</f>
        <v>0</v>
      </c>
      <c r="P164" s="480">
        <f>VLOOKUP($H164,'Cost Drivers'!$A$2:$R$66,4,FALSE)</f>
        <v>1</v>
      </c>
      <c r="Q164" s="259">
        <f t="shared" ref="Q164:Q166" si="318">$N164</f>
        <v>0</v>
      </c>
      <c r="R164" s="256">
        <f t="shared" ref="R164:R168" si="319">S164*T164</f>
        <v>0</v>
      </c>
      <c r="S164" s="182">
        <f>VLOOKUP($H164,'Cost Drivers'!$A$2:$R$66,6,FALSE)</f>
        <v>1</v>
      </c>
      <c r="T164" s="259">
        <f t="shared" ref="T164:T166" si="320">$N164</f>
        <v>0</v>
      </c>
      <c r="U164" s="256">
        <f t="shared" ref="U164:U168" si="321">V164*W164</f>
        <v>0</v>
      </c>
      <c r="V164" s="182">
        <f>VLOOKUP($H164,'Cost Drivers'!$A$2:$R$66,8,FALSE)</f>
        <v>1</v>
      </c>
      <c r="W164" s="259">
        <f t="shared" ref="W164:W166" si="322">$N164</f>
        <v>0</v>
      </c>
      <c r="X164" s="256">
        <f t="shared" ref="X164:X168" si="323">Y164*Z164</f>
        <v>0</v>
      </c>
      <c r="Y164" s="182">
        <f>VLOOKUP($H164,'Cost Drivers'!$A$2:$R$66,10,FALSE)</f>
        <v>1</v>
      </c>
      <c r="Z164" s="259">
        <f t="shared" ref="Z164:Z166" si="324">$N164</f>
        <v>0</v>
      </c>
      <c r="AA164" s="256">
        <f t="shared" ref="AA164:AA168" si="325">AB164*AC164</f>
        <v>0</v>
      </c>
      <c r="AB164" s="182">
        <f>VLOOKUP($H164,'Cost Drivers'!$A$2:$R$66,12,FALSE)</f>
        <v>1</v>
      </c>
      <c r="AC164" s="259">
        <f t="shared" ref="AC164:AC166" si="326">$N164</f>
        <v>0</v>
      </c>
      <c r="AD164" s="256">
        <f t="shared" ref="AD164:AD168" si="327">AE164*AF164</f>
        <v>0</v>
      </c>
      <c r="AE164" s="182">
        <f>VLOOKUP($H164,'Cost Drivers'!$A$2:$R$66,14,FALSE)</f>
        <v>1</v>
      </c>
      <c r="AF164" s="259">
        <f t="shared" ref="AF164:AF166" si="328">$N164</f>
        <v>0</v>
      </c>
      <c r="AG164" s="256">
        <f t="shared" ref="AG164:AG168" si="329">AH164*AI164</f>
        <v>0</v>
      </c>
      <c r="AH164" s="182">
        <f>VLOOKUP($H164,'Cost Drivers'!$A$2:$R$66,16,FALSE)</f>
        <v>1</v>
      </c>
      <c r="AI164" s="259">
        <f t="shared" ref="AI164:AI166" si="330">$N164</f>
        <v>0</v>
      </c>
      <c r="AJ164" s="256">
        <f t="shared" ref="AJ164:AJ168" si="331">AK164*AL164</f>
        <v>0</v>
      </c>
      <c r="AK164" s="182">
        <f>VLOOKUP($H164,'Cost Drivers'!$A$2:$R$66,18,FALSE)</f>
        <v>1</v>
      </c>
      <c r="AL164" s="259">
        <f t="shared" ref="AL164:AL166" si="332">$N164</f>
        <v>0</v>
      </c>
      <c r="AM164" s="256">
        <f t="shared" ref="AM164:AM168" si="333">AN164*AO164</f>
        <v>0</v>
      </c>
      <c r="AN164" s="182">
        <f>VLOOKUP($H164,'Cost Drivers'!$A$3:$V$67,20,FALSE)</f>
        <v>1</v>
      </c>
      <c r="AO164" s="259">
        <f t="shared" ref="AO164:AO166" si="334">$N164</f>
        <v>0</v>
      </c>
      <c r="AP164" s="256">
        <f t="shared" ref="AP164:AP168" si="335">AQ164*AR164</f>
        <v>0</v>
      </c>
      <c r="AQ164" s="182">
        <f>VLOOKUP($H164,'Cost Drivers'!$A$3:$V$67,22,FALSE)</f>
        <v>1</v>
      </c>
      <c r="AR164" s="259">
        <f t="shared" ref="AR164:AR166" si="336">$N164</f>
        <v>0</v>
      </c>
    </row>
    <row r="165" spans="2:44" outlineLevel="1" x14ac:dyDescent="0.25">
      <c r="B165" s="250" t="s">
        <v>264</v>
      </c>
      <c r="C165" s="251" t="s">
        <v>242</v>
      </c>
      <c r="D165" s="182">
        <f t="shared" si="315"/>
        <v>2000</v>
      </c>
      <c r="E165" s="252" t="s">
        <v>114</v>
      </c>
      <c r="F165" s="252" t="s">
        <v>237</v>
      </c>
      <c r="G165" s="287">
        <v>-347174.46166666661</v>
      </c>
      <c r="H165" s="180" t="s">
        <v>93</v>
      </c>
      <c r="I165" s="135">
        <v>1</v>
      </c>
      <c r="J165" s="255">
        <f t="shared" si="289"/>
        <v>0</v>
      </c>
      <c r="K165" s="256">
        <f t="shared" si="316"/>
        <v>-347174.46166666661</v>
      </c>
      <c r="L165" s="257">
        <f t="shared" si="290"/>
        <v>0</v>
      </c>
      <c r="M165" s="462">
        <f>VLOOKUP($H165,'Cost Drivers'!$A$2:$R$66,2,FALSE)</f>
        <v>1</v>
      </c>
      <c r="N165" s="258">
        <f t="shared" si="291"/>
        <v>0</v>
      </c>
      <c r="O165" s="256">
        <f t="shared" si="317"/>
        <v>0</v>
      </c>
      <c r="P165" s="480">
        <f>VLOOKUP($H165,'Cost Drivers'!$A$2:$R$66,4,FALSE)</f>
        <v>1</v>
      </c>
      <c r="Q165" s="259">
        <f t="shared" si="318"/>
        <v>0</v>
      </c>
      <c r="R165" s="256">
        <f t="shared" si="319"/>
        <v>0</v>
      </c>
      <c r="S165" s="182">
        <f>VLOOKUP($H165,'Cost Drivers'!$A$2:$R$66,6,FALSE)</f>
        <v>1</v>
      </c>
      <c r="T165" s="259">
        <f t="shared" si="320"/>
        <v>0</v>
      </c>
      <c r="U165" s="256">
        <f t="shared" si="321"/>
        <v>0</v>
      </c>
      <c r="V165" s="182">
        <f>VLOOKUP($H165,'Cost Drivers'!$A$2:$R$66,8,FALSE)</f>
        <v>1</v>
      </c>
      <c r="W165" s="259">
        <f t="shared" si="322"/>
        <v>0</v>
      </c>
      <c r="X165" s="256">
        <f t="shared" si="323"/>
        <v>0</v>
      </c>
      <c r="Y165" s="182">
        <f>VLOOKUP($H165,'Cost Drivers'!$A$2:$R$66,10,FALSE)</f>
        <v>1</v>
      </c>
      <c r="Z165" s="259">
        <f t="shared" si="324"/>
        <v>0</v>
      </c>
      <c r="AA165" s="256">
        <f t="shared" si="325"/>
        <v>0</v>
      </c>
      <c r="AB165" s="182">
        <f>VLOOKUP($H165,'Cost Drivers'!$A$2:$R$66,12,FALSE)</f>
        <v>1</v>
      </c>
      <c r="AC165" s="259">
        <f t="shared" si="326"/>
        <v>0</v>
      </c>
      <c r="AD165" s="256">
        <f t="shared" si="327"/>
        <v>0</v>
      </c>
      <c r="AE165" s="182">
        <f>VLOOKUP($H165,'Cost Drivers'!$A$2:$R$66,14,FALSE)</f>
        <v>1</v>
      </c>
      <c r="AF165" s="259">
        <f t="shared" si="328"/>
        <v>0</v>
      </c>
      <c r="AG165" s="256">
        <f t="shared" si="329"/>
        <v>0</v>
      </c>
      <c r="AH165" s="182">
        <f>VLOOKUP($H165,'Cost Drivers'!$A$2:$R$66,16,FALSE)</f>
        <v>1</v>
      </c>
      <c r="AI165" s="259">
        <f t="shared" si="330"/>
        <v>0</v>
      </c>
      <c r="AJ165" s="256">
        <f t="shared" si="331"/>
        <v>0</v>
      </c>
      <c r="AK165" s="182">
        <f>VLOOKUP($H165,'Cost Drivers'!$A$2:$R$66,18,FALSE)</f>
        <v>1</v>
      </c>
      <c r="AL165" s="259">
        <f t="shared" si="332"/>
        <v>0</v>
      </c>
      <c r="AM165" s="256">
        <f t="shared" si="333"/>
        <v>0</v>
      </c>
      <c r="AN165" s="182">
        <f>VLOOKUP($H165,'Cost Drivers'!$A$3:$V$67,20,FALSE)</f>
        <v>1</v>
      </c>
      <c r="AO165" s="259">
        <f t="shared" si="334"/>
        <v>0</v>
      </c>
      <c r="AP165" s="256">
        <f t="shared" si="335"/>
        <v>0</v>
      </c>
      <c r="AQ165" s="182">
        <f>VLOOKUP($H165,'Cost Drivers'!$A$3:$V$67,22,FALSE)</f>
        <v>1</v>
      </c>
      <c r="AR165" s="259">
        <f t="shared" si="336"/>
        <v>0</v>
      </c>
    </row>
    <row r="166" spans="2:44" ht="27" outlineLevel="1" x14ac:dyDescent="0.25">
      <c r="B166" s="250" t="s">
        <v>264</v>
      </c>
      <c r="C166" s="251" t="s">
        <v>252</v>
      </c>
      <c r="D166" s="182">
        <f t="shared" si="315"/>
        <v>3000</v>
      </c>
      <c r="E166" s="252" t="s">
        <v>114</v>
      </c>
      <c r="F166" s="252" t="s">
        <v>269</v>
      </c>
      <c r="G166" s="287">
        <v>0</v>
      </c>
      <c r="H166" s="180" t="s">
        <v>93</v>
      </c>
      <c r="I166" s="135">
        <v>1</v>
      </c>
      <c r="J166" s="255">
        <f t="shared" si="289"/>
        <v>0</v>
      </c>
      <c r="K166" s="256">
        <f t="shared" si="316"/>
        <v>0</v>
      </c>
      <c r="L166" s="257">
        <f t="shared" si="290"/>
        <v>0</v>
      </c>
      <c r="M166" s="462">
        <f>VLOOKUP($H166,'Cost Drivers'!$A$2:$R$66,2,FALSE)</f>
        <v>1</v>
      </c>
      <c r="N166" s="258">
        <f t="shared" si="291"/>
        <v>0</v>
      </c>
      <c r="O166" s="256">
        <f t="shared" si="317"/>
        <v>0</v>
      </c>
      <c r="P166" s="480">
        <f>VLOOKUP($H166,'Cost Drivers'!$A$2:$R$66,4,FALSE)</f>
        <v>1</v>
      </c>
      <c r="Q166" s="259">
        <f t="shared" si="318"/>
        <v>0</v>
      </c>
      <c r="R166" s="256">
        <f t="shared" si="319"/>
        <v>0</v>
      </c>
      <c r="S166" s="182">
        <f>VLOOKUP($H166,'Cost Drivers'!$A$2:$R$66,6,FALSE)</f>
        <v>1</v>
      </c>
      <c r="T166" s="259">
        <f t="shared" si="320"/>
        <v>0</v>
      </c>
      <c r="U166" s="256">
        <f t="shared" si="321"/>
        <v>0</v>
      </c>
      <c r="V166" s="182">
        <f>VLOOKUP($H166,'Cost Drivers'!$A$2:$R$66,8,FALSE)</f>
        <v>1</v>
      </c>
      <c r="W166" s="259">
        <f t="shared" si="322"/>
        <v>0</v>
      </c>
      <c r="X166" s="256">
        <f t="shared" si="323"/>
        <v>0</v>
      </c>
      <c r="Y166" s="182">
        <f>VLOOKUP($H166,'Cost Drivers'!$A$2:$R$66,10,FALSE)</f>
        <v>1</v>
      </c>
      <c r="Z166" s="259">
        <f t="shared" si="324"/>
        <v>0</v>
      </c>
      <c r="AA166" s="256">
        <f t="shared" si="325"/>
        <v>0</v>
      </c>
      <c r="AB166" s="182">
        <f>VLOOKUP($H166,'Cost Drivers'!$A$2:$R$66,12,FALSE)</f>
        <v>1</v>
      </c>
      <c r="AC166" s="259">
        <f t="shared" si="326"/>
        <v>0</v>
      </c>
      <c r="AD166" s="256">
        <f t="shared" si="327"/>
        <v>0</v>
      </c>
      <c r="AE166" s="182">
        <f>VLOOKUP($H166,'Cost Drivers'!$A$2:$R$66,14,FALSE)</f>
        <v>1</v>
      </c>
      <c r="AF166" s="259">
        <f t="shared" si="328"/>
        <v>0</v>
      </c>
      <c r="AG166" s="256">
        <f t="shared" si="329"/>
        <v>0</v>
      </c>
      <c r="AH166" s="182">
        <f>VLOOKUP($H166,'Cost Drivers'!$A$2:$R$66,16,FALSE)</f>
        <v>1</v>
      </c>
      <c r="AI166" s="259">
        <f t="shared" si="330"/>
        <v>0</v>
      </c>
      <c r="AJ166" s="256">
        <f t="shared" si="331"/>
        <v>0</v>
      </c>
      <c r="AK166" s="182">
        <f>VLOOKUP($H166,'Cost Drivers'!$A$2:$R$66,18,FALSE)</f>
        <v>1</v>
      </c>
      <c r="AL166" s="259">
        <f t="shared" si="332"/>
        <v>0</v>
      </c>
      <c r="AM166" s="256">
        <f t="shared" si="333"/>
        <v>0</v>
      </c>
      <c r="AN166" s="182">
        <f>VLOOKUP($H166,'Cost Drivers'!$A$3:$V$67,20,FALSE)</f>
        <v>1</v>
      </c>
      <c r="AO166" s="259">
        <f t="shared" si="334"/>
        <v>0</v>
      </c>
      <c r="AP166" s="256">
        <f t="shared" si="335"/>
        <v>0</v>
      </c>
      <c r="AQ166" s="182">
        <f>VLOOKUP($H166,'Cost Drivers'!$A$3:$V$67,22,FALSE)</f>
        <v>1</v>
      </c>
      <c r="AR166" s="259">
        <f t="shared" si="336"/>
        <v>0</v>
      </c>
    </row>
    <row r="167" spans="2:44" outlineLevel="1" x14ac:dyDescent="0.25">
      <c r="B167" s="250" t="s">
        <v>264</v>
      </c>
      <c r="C167" s="251" t="s">
        <v>257</v>
      </c>
      <c r="D167" s="182">
        <f t="shared" si="315"/>
        <v>4000</v>
      </c>
      <c r="E167" s="252" t="s">
        <v>114</v>
      </c>
      <c r="F167" s="252" t="s">
        <v>211</v>
      </c>
      <c r="G167" s="287">
        <v>33886.053333333337</v>
      </c>
      <c r="H167" s="180" t="s">
        <v>93</v>
      </c>
      <c r="I167" s="135">
        <v>1</v>
      </c>
      <c r="J167" s="255">
        <f t="shared" si="289"/>
        <v>0</v>
      </c>
      <c r="K167" s="256">
        <f t="shared" si="316"/>
        <v>33886.053333333337</v>
      </c>
      <c r="L167" s="257">
        <f t="shared" si="290"/>
        <v>0</v>
      </c>
      <c r="M167" s="462">
        <f>VLOOKUP($H167,'Cost Drivers'!$A$2:$R$66,2,FALSE)</f>
        <v>1</v>
      </c>
      <c r="N167" s="258">
        <f t="shared" si="291"/>
        <v>0</v>
      </c>
      <c r="O167" s="256">
        <f t="shared" ref="O167:O168" si="337">P167*Q167</f>
        <v>0</v>
      </c>
      <c r="P167" s="480">
        <f>VLOOKUP($H167,'Cost Drivers'!$A$2:$R$66,4,FALSE)</f>
        <v>1</v>
      </c>
      <c r="Q167" s="259">
        <f>$N167</f>
        <v>0</v>
      </c>
      <c r="R167" s="256">
        <f t="shared" si="319"/>
        <v>0</v>
      </c>
      <c r="S167" s="182">
        <f>VLOOKUP($H167,'Cost Drivers'!$A$2:$R$66,6,FALSE)</f>
        <v>1</v>
      </c>
      <c r="T167" s="259">
        <f>$N167</f>
        <v>0</v>
      </c>
      <c r="U167" s="256">
        <f t="shared" si="321"/>
        <v>0</v>
      </c>
      <c r="V167" s="182">
        <f>VLOOKUP($H167,'Cost Drivers'!$A$2:$R$66,8,FALSE)</f>
        <v>1</v>
      </c>
      <c r="W167" s="259">
        <f>$N167</f>
        <v>0</v>
      </c>
      <c r="X167" s="256">
        <f t="shared" si="323"/>
        <v>0</v>
      </c>
      <c r="Y167" s="182">
        <f>VLOOKUP($H167,'Cost Drivers'!$A$2:$R$66,10,FALSE)</f>
        <v>1</v>
      </c>
      <c r="Z167" s="259">
        <f>$N167</f>
        <v>0</v>
      </c>
      <c r="AA167" s="256">
        <f t="shared" si="325"/>
        <v>0</v>
      </c>
      <c r="AB167" s="182">
        <f>VLOOKUP($H167,'Cost Drivers'!$A$2:$R$66,12,FALSE)</f>
        <v>1</v>
      </c>
      <c r="AC167" s="259">
        <f>$N167</f>
        <v>0</v>
      </c>
      <c r="AD167" s="256">
        <f t="shared" si="327"/>
        <v>0</v>
      </c>
      <c r="AE167" s="182">
        <f>VLOOKUP($H167,'Cost Drivers'!$A$2:$R$66,14,FALSE)</f>
        <v>1</v>
      </c>
      <c r="AF167" s="259">
        <f>$N167</f>
        <v>0</v>
      </c>
      <c r="AG167" s="256">
        <f t="shared" si="329"/>
        <v>0</v>
      </c>
      <c r="AH167" s="182">
        <f>VLOOKUP($H167,'Cost Drivers'!$A$2:$R$66,16,FALSE)</f>
        <v>1</v>
      </c>
      <c r="AI167" s="259">
        <f>$N167</f>
        <v>0</v>
      </c>
      <c r="AJ167" s="256">
        <f t="shared" si="331"/>
        <v>0</v>
      </c>
      <c r="AK167" s="182">
        <f>VLOOKUP($H167,'Cost Drivers'!$A$2:$R$66,18,FALSE)</f>
        <v>1</v>
      </c>
      <c r="AL167" s="259">
        <f>$N167</f>
        <v>0</v>
      </c>
      <c r="AM167" s="256">
        <f t="shared" si="333"/>
        <v>0</v>
      </c>
      <c r="AN167" s="182">
        <f>VLOOKUP($H167,'Cost Drivers'!$A$3:$V$67,20,FALSE)</f>
        <v>1</v>
      </c>
      <c r="AO167" s="259">
        <f>$N167</f>
        <v>0</v>
      </c>
      <c r="AP167" s="256">
        <f t="shared" si="335"/>
        <v>0</v>
      </c>
      <c r="AQ167" s="182">
        <f>VLOOKUP($H167,'Cost Drivers'!$A$3:$V$67,22,FALSE)</f>
        <v>1</v>
      </c>
      <c r="AR167" s="259">
        <f>$N167</f>
        <v>0</v>
      </c>
    </row>
    <row r="168" spans="2:44" outlineLevel="1" x14ac:dyDescent="0.25">
      <c r="B168" s="250" t="s">
        <v>264</v>
      </c>
      <c r="C168" s="251" t="s">
        <v>258</v>
      </c>
      <c r="D168" s="182">
        <f t="shared" si="315"/>
        <v>5000</v>
      </c>
      <c r="E168" s="252" t="s">
        <v>114</v>
      </c>
      <c r="F168" s="252" t="s">
        <v>212</v>
      </c>
      <c r="G168" s="287">
        <v>56558471.458333336</v>
      </c>
      <c r="H168" s="180" t="s">
        <v>93</v>
      </c>
      <c r="I168" s="135">
        <v>1</v>
      </c>
      <c r="J168" s="255">
        <f t="shared" si="289"/>
        <v>0</v>
      </c>
      <c r="K168" s="256">
        <f t="shared" ref="K168" si="338">G168*I168</f>
        <v>56558471.458333336</v>
      </c>
      <c r="L168" s="257">
        <f t="shared" si="290"/>
        <v>0</v>
      </c>
      <c r="M168" s="462">
        <f>VLOOKUP($H168,'Cost Drivers'!$A$2:$R$66,2,FALSE)</f>
        <v>1</v>
      </c>
      <c r="N168" s="258">
        <f t="shared" si="291"/>
        <v>0</v>
      </c>
      <c r="O168" s="256">
        <f t="shared" si="337"/>
        <v>0</v>
      </c>
      <c r="P168" s="480">
        <f>VLOOKUP($H168,'Cost Drivers'!$A$2:$R$66,4,FALSE)</f>
        <v>1</v>
      </c>
      <c r="Q168" s="259">
        <f>N168</f>
        <v>0</v>
      </c>
      <c r="R168" s="256">
        <f t="shared" si="319"/>
        <v>0</v>
      </c>
      <c r="S168" s="182">
        <f>VLOOKUP($H168,'Cost Drivers'!$A$2:$R$66,6,FALSE)</f>
        <v>1</v>
      </c>
      <c r="T168" s="259">
        <f>Q168</f>
        <v>0</v>
      </c>
      <c r="U168" s="256">
        <f t="shared" si="321"/>
        <v>0</v>
      </c>
      <c r="V168" s="182">
        <f>VLOOKUP($H168,'Cost Drivers'!$A$2:$R$66,8,FALSE)</f>
        <v>1</v>
      </c>
      <c r="W168" s="259">
        <f>T168</f>
        <v>0</v>
      </c>
      <c r="X168" s="256">
        <f t="shared" si="323"/>
        <v>0</v>
      </c>
      <c r="Y168" s="182">
        <f>VLOOKUP($H168,'Cost Drivers'!$A$2:$R$66,10,FALSE)</f>
        <v>1</v>
      </c>
      <c r="Z168" s="259">
        <f>W168</f>
        <v>0</v>
      </c>
      <c r="AA168" s="256">
        <f t="shared" si="325"/>
        <v>0</v>
      </c>
      <c r="AB168" s="182">
        <f>VLOOKUP($H168,'Cost Drivers'!$A$2:$R$66,12,FALSE)</f>
        <v>1</v>
      </c>
      <c r="AC168" s="259">
        <f>Z168</f>
        <v>0</v>
      </c>
      <c r="AD168" s="256">
        <f t="shared" si="327"/>
        <v>0</v>
      </c>
      <c r="AE168" s="182">
        <f>VLOOKUP($H168,'Cost Drivers'!$A$2:$R$66,14,FALSE)</f>
        <v>1</v>
      </c>
      <c r="AF168" s="259">
        <f>AC168</f>
        <v>0</v>
      </c>
      <c r="AG168" s="256">
        <f t="shared" si="329"/>
        <v>0</v>
      </c>
      <c r="AH168" s="182">
        <f>VLOOKUP($H168,'Cost Drivers'!$A$2:$R$66,16,FALSE)</f>
        <v>1</v>
      </c>
      <c r="AI168" s="259">
        <f>AF168</f>
        <v>0</v>
      </c>
      <c r="AJ168" s="256">
        <f t="shared" si="331"/>
        <v>0</v>
      </c>
      <c r="AK168" s="182">
        <f>VLOOKUP($H168,'Cost Drivers'!$A$2:$R$66,18,FALSE)</f>
        <v>1</v>
      </c>
      <c r="AL168" s="259">
        <f>AI168</f>
        <v>0</v>
      </c>
      <c r="AM168" s="256">
        <f t="shared" si="333"/>
        <v>0</v>
      </c>
      <c r="AN168" s="182">
        <f>VLOOKUP($H168,'Cost Drivers'!$A$3:$V$67,20,FALSE)</f>
        <v>1</v>
      </c>
      <c r="AO168" s="259">
        <f>AL168</f>
        <v>0</v>
      </c>
      <c r="AP168" s="256">
        <f t="shared" si="335"/>
        <v>0</v>
      </c>
      <c r="AQ168" s="182">
        <f>VLOOKUP($H168,'Cost Drivers'!$A$3:$V$67,22,FALSE)</f>
        <v>1</v>
      </c>
      <c r="AR168" s="259">
        <f>AO168</f>
        <v>0</v>
      </c>
    </row>
    <row r="169" spans="2:44" s="188" customFormat="1" x14ac:dyDescent="0.25">
      <c r="B169" s="266"/>
      <c r="E169" s="267"/>
      <c r="F169" s="267"/>
      <c r="G169" s="185"/>
      <c r="H169" s="268"/>
      <c r="I169" s="208"/>
      <c r="K169" s="185"/>
      <c r="M169" s="189"/>
      <c r="O169" s="185"/>
      <c r="Q169" s="209"/>
      <c r="R169" s="185"/>
      <c r="U169" s="269"/>
      <c r="AA169" s="269"/>
    </row>
    <row r="170" spans="2:44" s="188" customFormat="1" x14ac:dyDescent="0.25">
      <c r="B170" s="266"/>
      <c r="E170" s="267"/>
      <c r="F170" s="267"/>
      <c r="G170" s="185"/>
      <c r="H170" s="268"/>
      <c r="I170" s="208"/>
      <c r="K170" s="185"/>
      <c r="M170" s="189"/>
      <c r="O170" s="185"/>
      <c r="Q170" s="209"/>
      <c r="R170" s="185"/>
      <c r="U170" s="269"/>
      <c r="AA170" s="269"/>
    </row>
    <row r="171" spans="2:44" s="188" customFormat="1" x14ac:dyDescent="0.25">
      <c r="B171" s="266"/>
      <c r="E171" s="267"/>
      <c r="F171" s="267"/>
      <c r="G171" s="185"/>
      <c r="H171" s="268"/>
      <c r="I171" s="208"/>
      <c r="K171" s="185"/>
      <c r="M171" s="189"/>
      <c r="O171" s="185"/>
      <c r="Q171" s="209"/>
      <c r="R171" s="185"/>
      <c r="U171" s="269"/>
      <c r="AA171" s="269"/>
    </row>
    <row r="172" spans="2:44" s="188" customFormat="1" x14ac:dyDescent="0.25">
      <c r="B172" s="266"/>
      <c r="E172" s="267"/>
      <c r="F172" s="267"/>
      <c r="G172" s="185"/>
      <c r="H172" s="268"/>
      <c r="I172" s="208"/>
      <c r="K172" s="185"/>
      <c r="M172" s="189"/>
      <c r="O172" s="185"/>
      <c r="Q172" s="209" t="s">
        <v>331</v>
      </c>
      <c r="R172" s="185"/>
      <c r="U172" s="269"/>
      <c r="AA172" s="269"/>
    </row>
    <row r="173" spans="2:44" s="188" customFormat="1" x14ac:dyDescent="0.25">
      <c r="B173" s="266"/>
      <c r="E173" s="267"/>
      <c r="F173" s="267"/>
      <c r="G173" s="185"/>
      <c r="H173" s="268"/>
      <c r="I173" s="208"/>
      <c r="K173" s="185"/>
      <c r="M173" s="189"/>
      <c r="O173" s="185"/>
      <c r="Q173" s="209"/>
      <c r="R173" s="185"/>
      <c r="U173" s="269"/>
      <c r="AA173" s="269"/>
    </row>
    <row r="174" spans="2:44" s="188" customFormat="1" x14ac:dyDescent="0.25">
      <c r="B174" s="266"/>
      <c r="E174" s="267"/>
      <c r="F174" s="267"/>
      <c r="G174" s="185"/>
      <c r="H174" s="268"/>
      <c r="I174" s="208"/>
      <c r="K174" s="185"/>
      <c r="M174" s="189"/>
      <c r="O174" s="185"/>
      <c r="Q174" s="209"/>
      <c r="R174" s="185"/>
      <c r="U174" s="269"/>
      <c r="AA174" s="269"/>
    </row>
    <row r="175" spans="2:44" s="188" customFormat="1" x14ac:dyDescent="0.25">
      <c r="B175" s="266"/>
      <c r="E175" s="267"/>
      <c r="F175" s="267"/>
      <c r="G175" s="185"/>
      <c r="H175" s="268"/>
      <c r="I175" s="208"/>
      <c r="K175" s="185"/>
      <c r="M175" s="189"/>
      <c r="O175" s="185"/>
      <c r="Q175" s="209"/>
      <c r="R175" s="185"/>
      <c r="U175" s="269"/>
      <c r="AA175" s="269"/>
    </row>
    <row r="176" spans="2:44" s="188" customFormat="1" x14ac:dyDescent="0.25">
      <c r="B176" s="266"/>
      <c r="E176" s="267"/>
      <c r="F176" s="267"/>
      <c r="G176" s="185"/>
      <c r="H176" s="268"/>
      <c r="I176" s="208"/>
      <c r="K176" s="185"/>
      <c r="M176" s="189"/>
      <c r="O176" s="185"/>
      <c r="Q176" s="209"/>
      <c r="R176" s="185"/>
      <c r="U176" s="269"/>
      <c r="AA176" s="269"/>
    </row>
    <row r="177" spans="2:27" s="188" customFormat="1" x14ac:dyDescent="0.25">
      <c r="B177" s="266"/>
      <c r="E177" s="267"/>
      <c r="F177" s="267"/>
      <c r="G177" s="185"/>
      <c r="H177" s="268"/>
      <c r="I177" s="208"/>
      <c r="K177" s="185"/>
      <c r="M177" s="189"/>
      <c r="O177" s="185"/>
      <c r="Q177" s="209"/>
      <c r="R177" s="185"/>
      <c r="U177" s="269"/>
      <c r="AA177" s="269"/>
    </row>
    <row r="178" spans="2:27" s="188" customFormat="1" x14ac:dyDescent="0.25">
      <c r="B178" s="266"/>
      <c r="E178" s="267"/>
      <c r="F178" s="267"/>
      <c r="G178" s="185"/>
      <c r="H178" s="268"/>
      <c r="I178" s="208"/>
      <c r="K178" s="185"/>
      <c r="M178" s="189"/>
      <c r="O178" s="185"/>
      <c r="Q178" s="209"/>
      <c r="R178" s="185"/>
      <c r="U178" s="269"/>
      <c r="AA178" s="269"/>
    </row>
    <row r="179" spans="2:27" s="188" customFormat="1" x14ac:dyDescent="0.25">
      <c r="B179" s="266"/>
      <c r="E179" s="267"/>
      <c r="F179" s="267"/>
      <c r="G179" s="185"/>
      <c r="H179" s="268"/>
      <c r="I179" s="208"/>
      <c r="K179" s="185"/>
      <c r="M179" s="189"/>
      <c r="O179" s="185"/>
      <c r="Q179" s="209"/>
      <c r="R179" s="185"/>
      <c r="U179" s="269"/>
      <c r="AA179" s="269"/>
    </row>
    <row r="180" spans="2:27" s="188" customFormat="1" x14ac:dyDescent="0.25">
      <c r="B180" s="266"/>
      <c r="E180" s="267"/>
      <c r="F180" s="267"/>
      <c r="G180" s="185"/>
      <c r="H180" s="268"/>
      <c r="I180" s="208"/>
      <c r="K180" s="185"/>
      <c r="M180" s="189"/>
      <c r="O180" s="185"/>
      <c r="Q180" s="209"/>
      <c r="R180" s="185"/>
      <c r="U180" s="269"/>
      <c r="AA180" s="269"/>
    </row>
    <row r="181" spans="2:27" s="188" customFormat="1" x14ac:dyDescent="0.25">
      <c r="B181" s="266"/>
      <c r="E181" s="267"/>
      <c r="F181" s="267"/>
      <c r="G181" s="185"/>
      <c r="H181" s="268"/>
      <c r="I181" s="208"/>
      <c r="K181" s="185"/>
      <c r="M181" s="189"/>
      <c r="O181" s="185"/>
      <c r="Q181" s="209"/>
      <c r="R181" s="185"/>
      <c r="U181" s="269"/>
      <c r="AA181" s="269"/>
    </row>
    <row r="182" spans="2:27" s="188" customFormat="1" x14ac:dyDescent="0.25">
      <c r="B182" s="266"/>
      <c r="E182" s="267"/>
      <c r="F182" s="267"/>
      <c r="G182" s="185"/>
      <c r="H182" s="268"/>
      <c r="I182" s="208"/>
      <c r="K182" s="185"/>
      <c r="M182" s="189"/>
      <c r="O182" s="185"/>
      <c r="Q182" s="209"/>
      <c r="R182" s="185"/>
      <c r="U182" s="269"/>
      <c r="AA182" s="269"/>
    </row>
    <row r="183" spans="2:27" s="188" customFormat="1" x14ac:dyDescent="0.25">
      <c r="B183" s="266"/>
      <c r="E183" s="267"/>
      <c r="F183" s="267"/>
      <c r="G183" s="185"/>
      <c r="H183" s="268"/>
      <c r="I183" s="208"/>
      <c r="K183" s="185"/>
      <c r="M183" s="189"/>
      <c r="O183" s="185"/>
      <c r="Q183" s="209"/>
      <c r="R183" s="185"/>
      <c r="U183" s="269"/>
      <c r="AA183" s="269"/>
    </row>
    <row r="184" spans="2:27" s="188" customFormat="1" x14ac:dyDescent="0.25">
      <c r="B184" s="266"/>
      <c r="E184" s="267"/>
      <c r="F184" s="267"/>
      <c r="G184" s="185"/>
      <c r="H184" s="268"/>
      <c r="I184" s="208"/>
      <c r="K184" s="185"/>
      <c r="M184" s="189"/>
      <c r="O184" s="185"/>
      <c r="Q184" s="209"/>
      <c r="R184" s="185"/>
      <c r="U184" s="269"/>
      <c r="AA184" s="269"/>
    </row>
    <row r="185" spans="2:27" s="188" customFormat="1" x14ac:dyDescent="0.25">
      <c r="B185" s="266"/>
      <c r="E185" s="267"/>
      <c r="F185" s="267"/>
      <c r="G185" s="185"/>
      <c r="H185" s="268"/>
      <c r="I185" s="208"/>
      <c r="K185" s="185"/>
      <c r="M185" s="189"/>
      <c r="O185" s="185"/>
      <c r="Q185" s="209"/>
      <c r="R185" s="185"/>
      <c r="U185" s="269"/>
      <c r="AA185" s="269"/>
    </row>
    <row r="186" spans="2:27" s="188" customFormat="1" x14ac:dyDescent="0.25">
      <c r="B186" s="266"/>
      <c r="E186" s="267"/>
      <c r="F186" s="267"/>
      <c r="G186" s="185"/>
      <c r="H186" s="268"/>
      <c r="I186" s="208"/>
      <c r="K186" s="185"/>
      <c r="M186" s="189"/>
      <c r="O186" s="185"/>
      <c r="Q186" s="209"/>
      <c r="R186" s="185"/>
      <c r="U186" s="269"/>
      <c r="AA186" s="269"/>
    </row>
    <row r="187" spans="2:27" s="188" customFormat="1" x14ac:dyDescent="0.25">
      <c r="B187" s="266"/>
      <c r="E187" s="267"/>
      <c r="F187" s="267"/>
      <c r="G187" s="185"/>
      <c r="H187" s="268"/>
      <c r="I187" s="208"/>
      <c r="K187" s="185"/>
      <c r="M187" s="189"/>
      <c r="O187" s="185"/>
      <c r="Q187" s="209"/>
      <c r="R187" s="185"/>
      <c r="U187" s="269"/>
      <c r="AA187" s="269"/>
    </row>
    <row r="188" spans="2:27" s="188" customFormat="1" x14ac:dyDescent="0.25">
      <c r="B188" s="266"/>
      <c r="E188" s="267"/>
      <c r="F188" s="267"/>
      <c r="G188" s="185"/>
      <c r="H188" s="268"/>
      <c r="I188" s="208"/>
      <c r="K188" s="185"/>
      <c r="M188" s="189"/>
      <c r="O188" s="185"/>
      <c r="Q188" s="209"/>
      <c r="R188" s="185"/>
      <c r="U188" s="269"/>
      <c r="AA188" s="269"/>
    </row>
    <row r="189" spans="2:27" s="188" customFormat="1" x14ac:dyDescent="0.25">
      <c r="B189" s="266"/>
      <c r="E189" s="267"/>
      <c r="F189" s="267"/>
      <c r="G189" s="185"/>
      <c r="H189" s="268"/>
      <c r="I189" s="208"/>
      <c r="K189" s="185"/>
      <c r="M189" s="189"/>
      <c r="O189" s="185"/>
      <c r="Q189" s="209"/>
      <c r="R189" s="185"/>
      <c r="U189" s="269"/>
      <c r="AA189" s="269"/>
    </row>
    <row r="190" spans="2:27" s="188" customFormat="1" x14ac:dyDescent="0.25">
      <c r="B190" s="266"/>
      <c r="E190" s="267"/>
      <c r="F190" s="267"/>
      <c r="G190" s="185"/>
      <c r="H190" s="268"/>
      <c r="I190" s="208"/>
      <c r="K190" s="185"/>
      <c r="M190" s="189"/>
      <c r="O190" s="185"/>
      <c r="Q190" s="209"/>
      <c r="R190" s="185"/>
      <c r="U190" s="269"/>
      <c r="AA190" s="269"/>
    </row>
    <row r="191" spans="2:27" s="188" customFormat="1" x14ac:dyDescent="0.25">
      <c r="B191" s="266"/>
      <c r="E191" s="267"/>
      <c r="F191" s="267"/>
      <c r="G191" s="185"/>
      <c r="H191" s="268"/>
      <c r="I191" s="208"/>
      <c r="K191" s="185"/>
      <c r="M191" s="189"/>
      <c r="O191" s="185"/>
      <c r="Q191" s="209"/>
      <c r="R191" s="185"/>
      <c r="U191" s="269"/>
      <c r="AA191" s="269"/>
    </row>
    <row r="192" spans="2:27" s="188" customFormat="1" x14ac:dyDescent="0.25">
      <c r="B192" s="266"/>
      <c r="E192" s="267"/>
      <c r="F192" s="267"/>
      <c r="G192" s="185"/>
      <c r="H192" s="268"/>
      <c r="I192" s="208"/>
      <c r="K192" s="185"/>
      <c r="M192" s="189"/>
      <c r="O192" s="185"/>
      <c r="Q192" s="209"/>
      <c r="R192" s="185"/>
      <c r="U192" s="269"/>
      <c r="AA192" s="269"/>
    </row>
    <row r="193" spans="2:27" s="188" customFormat="1" x14ac:dyDescent="0.25">
      <c r="B193" s="266"/>
      <c r="E193" s="267"/>
      <c r="F193" s="267"/>
      <c r="G193" s="185"/>
      <c r="H193" s="268"/>
      <c r="I193" s="208"/>
      <c r="K193" s="185"/>
      <c r="M193" s="189"/>
      <c r="O193" s="185"/>
      <c r="Q193" s="209"/>
      <c r="R193" s="185"/>
      <c r="U193" s="269"/>
      <c r="AA193" s="269"/>
    </row>
    <row r="194" spans="2:27" s="188" customFormat="1" x14ac:dyDescent="0.25">
      <c r="B194" s="266"/>
      <c r="E194" s="267"/>
      <c r="F194" s="267"/>
      <c r="G194" s="185"/>
      <c r="H194" s="268"/>
      <c r="I194" s="208"/>
      <c r="K194" s="185"/>
      <c r="M194" s="189"/>
      <c r="O194" s="185"/>
      <c r="Q194" s="209"/>
      <c r="R194" s="185"/>
      <c r="U194" s="269"/>
      <c r="AA194" s="269"/>
    </row>
    <row r="195" spans="2:27" s="188" customFormat="1" x14ac:dyDescent="0.25">
      <c r="B195" s="266"/>
      <c r="E195" s="267"/>
      <c r="F195" s="267"/>
      <c r="G195" s="185"/>
      <c r="H195" s="268"/>
      <c r="I195" s="208"/>
      <c r="K195" s="185"/>
      <c r="M195" s="189"/>
      <c r="O195" s="185"/>
      <c r="Q195" s="209"/>
      <c r="R195" s="185"/>
      <c r="U195" s="269"/>
      <c r="AA195" s="269"/>
    </row>
    <row r="196" spans="2:27" s="188" customFormat="1" x14ac:dyDescent="0.25">
      <c r="B196" s="266"/>
      <c r="E196" s="267"/>
      <c r="F196" s="267"/>
      <c r="G196" s="185"/>
      <c r="H196" s="268"/>
      <c r="I196" s="208"/>
      <c r="K196" s="185"/>
      <c r="M196" s="189"/>
      <c r="O196" s="185"/>
      <c r="Q196" s="209"/>
      <c r="R196" s="185"/>
      <c r="U196" s="269"/>
      <c r="AA196" s="269"/>
    </row>
    <row r="197" spans="2:27" s="188" customFormat="1" x14ac:dyDescent="0.25">
      <c r="B197" s="266"/>
      <c r="E197" s="267"/>
      <c r="F197" s="267"/>
      <c r="G197" s="185"/>
      <c r="H197" s="268"/>
      <c r="I197" s="208"/>
      <c r="K197" s="185"/>
      <c r="M197" s="189"/>
      <c r="O197" s="185"/>
      <c r="Q197" s="209"/>
      <c r="R197" s="185"/>
      <c r="U197" s="269"/>
      <c r="AA197" s="269"/>
    </row>
    <row r="198" spans="2:27" s="188" customFormat="1" x14ac:dyDescent="0.25">
      <c r="B198" s="266"/>
      <c r="E198" s="267"/>
      <c r="F198" s="267"/>
      <c r="G198" s="185"/>
      <c r="H198" s="268"/>
      <c r="I198" s="208"/>
      <c r="K198" s="185"/>
      <c r="M198" s="189"/>
      <c r="O198" s="185"/>
      <c r="Q198" s="209"/>
      <c r="R198" s="185"/>
      <c r="U198" s="269"/>
      <c r="AA198" s="269"/>
    </row>
    <row r="199" spans="2:27" s="188" customFormat="1" x14ac:dyDescent="0.25">
      <c r="B199" s="266"/>
      <c r="E199" s="267"/>
      <c r="F199" s="267"/>
      <c r="G199" s="185"/>
      <c r="H199" s="268"/>
      <c r="I199" s="208"/>
      <c r="K199" s="185"/>
      <c r="M199" s="189"/>
      <c r="O199" s="185"/>
      <c r="Q199" s="209"/>
      <c r="R199" s="185"/>
      <c r="U199" s="269"/>
      <c r="AA199" s="269"/>
    </row>
    <row r="200" spans="2:27" s="188" customFormat="1" x14ac:dyDescent="0.25">
      <c r="B200" s="266"/>
      <c r="E200" s="267"/>
      <c r="F200" s="267"/>
      <c r="G200" s="185"/>
      <c r="H200" s="268"/>
      <c r="I200" s="208"/>
      <c r="K200" s="185"/>
      <c r="M200" s="189"/>
      <c r="O200" s="185"/>
      <c r="Q200" s="209"/>
      <c r="R200" s="185"/>
      <c r="U200" s="269"/>
      <c r="AA200" s="269"/>
    </row>
    <row r="201" spans="2:27" s="188" customFormat="1" x14ac:dyDescent="0.25">
      <c r="B201" s="266"/>
      <c r="E201" s="267"/>
      <c r="F201" s="267"/>
      <c r="G201" s="185"/>
      <c r="H201" s="268"/>
      <c r="I201" s="208"/>
      <c r="K201" s="185"/>
      <c r="M201" s="189"/>
      <c r="O201" s="185"/>
      <c r="Q201" s="209"/>
      <c r="R201" s="185"/>
      <c r="U201" s="269"/>
      <c r="AA201" s="269"/>
    </row>
    <row r="202" spans="2:27" s="188" customFormat="1" x14ac:dyDescent="0.25">
      <c r="B202" s="266"/>
      <c r="E202" s="267"/>
      <c r="F202" s="267"/>
      <c r="G202" s="185"/>
      <c r="H202" s="268"/>
      <c r="I202" s="208"/>
      <c r="K202" s="185"/>
      <c r="M202" s="189"/>
      <c r="O202" s="185"/>
      <c r="Q202" s="209"/>
      <c r="R202" s="185"/>
      <c r="U202" s="269"/>
      <c r="AA202" s="269"/>
    </row>
    <row r="203" spans="2:27" s="188" customFormat="1" x14ac:dyDescent="0.25">
      <c r="B203" s="266"/>
      <c r="E203" s="267"/>
      <c r="F203" s="267"/>
      <c r="G203" s="185"/>
      <c r="H203" s="268"/>
      <c r="I203" s="208"/>
      <c r="K203" s="185"/>
      <c r="M203" s="189"/>
      <c r="O203" s="185"/>
      <c r="Q203" s="209"/>
      <c r="R203" s="185"/>
      <c r="U203" s="269"/>
      <c r="AA203" s="269"/>
    </row>
    <row r="204" spans="2:27" s="188" customFormat="1" x14ac:dyDescent="0.25">
      <c r="B204" s="266"/>
      <c r="E204" s="267"/>
      <c r="F204" s="267"/>
      <c r="G204" s="185"/>
      <c r="H204" s="268"/>
      <c r="I204" s="208"/>
      <c r="K204" s="185"/>
      <c r="M204" s="189"/>
      <c r="O204" s="185"/>
      <c r="Q204" s="209"/>
      <c r="R204" s="185"/>
      <c r="U204" s="269"/>
      <c r="AA204" s="269"/>
    </row>
    <row r="205" spans="2:27" s="188" customFormat="1" x14ac:dyDescent="0.25">
      <c r="B205" s="266"/>
      <c r="E205" s="267"/>
      <c r="F205" s="267"/>
      <c r="G205" s="185"/>
      <c r="H205" s="268"/>
      <c r="I205" s="208"/>
      <c r="K205" s="185"/>
      <c r="M205" s="189"/>
      <c r="O205" s="185"/>
      <c r="Q205" s="209"/>
      <c r="R205" s="185"/>
      <c r="U205" s="269"/>
      <c r="AA205" s="269"/>
    </row>
    <row r="206" spans="2:27" s="188" customFormat="1" x14ac:dyDescent="0.25">
      <c r="B206" s="266"/>
      <c r="E206" s="267"/>
      <c r="F206" s="267"/>
      <c r="G206" s="185"/>
      <c r="H206" s="268"/>
      <c r="I206" s="208"/>
      <c r="K206" s="185"/>
      <c r="M206" s="189"/>
      <c r="O206" s="185"/>
      <c r="Q206" s="209"/>
      <c r="R206" s="185"/>
      <c r="U206" s="269"/>
      <c r="AA206" s="269"/>
    </row>
    <row r="207" spans="2:27" s="188" customFormat="1" x14ac:dyDescent="0.25">
      <c r="B207" s="266"/>
      <c r="E207" s="267"/>
      <c r="F207" s="267"/>
      <c r="G207" s="185"/>
      <c r="H207" s="268"/>
      <c r="I207" s="208"/>
      <c r="K207" s="185"/>
      <c r="M207" s="189"/>
      <c r="O207" s="185"/>
      <c r="Q207" s="209"/>
      <c r="R207" s="185"/>
      <c r="U207" s="269"/>
      <c r="AA207" s="269"/>
    </row>
    <row r="208" spans="2:27" s="188" customFormat="1" x14ac:dyDescent="0.25">
      <c r="B208" s="266"/>
      <c r="E208" s="267"/>
      <c r="F208" s="267"/>
      <c r="G208" s="185"/>
      <c r="H208" s="268"/>
      <c r="I208" s="208"/>
      <c r="K208" s="185"/>
      <c r="M208" s="189"/>
      <c r="O208" s="185"/>
      <c r="Q208" s="209"/>
      <c r="R208" s="185"/>
      <c r="U208" s="269"/>
      <c r="AA208" s="269"/>
    </row>
    <row r="209" spans="2:27" s="188" customFormat="1" x14ac:dyDescent="0.25">
      <c r="B209" s="266"/>
      <c r="E209" s="267"/>
      <c r="F209" s="267"/>
      <c r="G209" s="185"/>
      <c r="H209" s="268"/>
      <c r="I209" s="208"/>
      <c r="K209" s="185"/>
      <c r="M209" s="189"/>
      <c r="O209" s="185"/>
      <c r="Q209" s="209"/>
      <c r="R209" s="185"/>
      <c r="U209" s="269"/>
      <c r="AA209" s="269"/>
    </row>
    <row r="210" spans="2:27" s="188" customFormat="1" x14ac:dyDescent="0.25">
      <c r="B210" s="266"/>
      <c r="E210" s="267"/>
      <c r="F210" s="267"/>
      <c r="G210" s="185"/>
      <c r="H210" s="268"/>
      <c r="I210" s="208"/>
      <c r="K210" s="185"/>
      <c r="M210" s="189"/>
      <c r="O210" s="185"/>
      <c r="Q210" s="209"/>
      <c r="R210" s="185"/>
      <c r="U210" s="269"/>
      <c r="AA210" s="269"/>
    </row>
    <row r="211" spans="2:27" s="188" customFormat="1" x14ac:dyDescent="0.25">
      <c r="B211" s="266"/>
      <c r="E211" s="267"/>
      <c r="F211" s="267"/>
      <c r="G211" s="185"/>
      <c r="H211" s="268"/>
      <c r="I211" s="208"/>
      <c r="K211" s="185"/>
      <c r="M211" s="189"/>
      <c r="O211" s="185"/>
      <c r="Q211" s="209"/>
      <c r="R211" s="185"/>
      <c r="U211" s="269"/>
      <c r="AA211" s="269"/>
    </row>
    <row r="212" spans="2:27" s="188" customFormat="1" x14ac:dyDescent="0.25">
      <c r="B212" s="266"/>
      <c r="E212" s="267"/>
      <c r="F212" s="267"/>
      <c r="G212" s="185"/>
      <c r="H212" s="268"/>
      <c r="I212" s="208"/>
      <c r="K212" s="185"/>
      <c r="M212" s="189"/>
      <c r="O212" s="185"/>
      <c r="Q212" s="209"/>
      <c r="R212" s="185"/>
      <c r="U212" s="269"/>
      <c r="AA212" s="269"/>
    </row>
    <row r="213" spans="2:27" s="188" customFormat="1" x14ac:dyDescent="0.25">
      <c r="B213" s="266"/>
      <c r="E213" s="267"/>
      <c r="F213" s="267"/>
      <c r="G213" s="185"/>
      <c r="H213" s="268"/>
      <c r="I213" s="208"/>
      <c r="K213" s="185"/>
      <c r="M213" s="189"/>
      <c r="O213" s="185"/>
      <c r="Q213" s="209"/>
      <c r="R213" s="185"/>
      <c r="U213" s="269"/>
      <c r="AA213" s="269"/>
    </row>
    <row r="214" spans="2:27" s="188" customFormat="1" x14ac:dyDescent="0.25">
      <c r="B214" s="266"/>
      <c r="E214" s="267"/>
      <c r="F214" s="267"/>
      <c r="G214" s="185"/>
      <c r="H214" s="268"/>
      <c r="I214" s="208"/>
      <c r="K214" s="185"/>
      <c r="M214" s="189"/>
      <c r="O214" s="185"/>
      <c r="Q214" s="209"/>
      <c r="R214" s="185"/>
      <c r="U214" s="269"/>
      <c r="AA214" s="269"/>
    </row>
    <row r="215" spans="2:27" s="188" customFormat="1" x14ac:dyDescent="0.25">
      <c r="B215" s="266"/>
      <c r="E215" s="267"/>
      <c r="F215" s="267"/>
      <c r="G215" s="185"/>
      <c r="H215" s="268"/>
      <c r="I215" s="208"/>
      <c r="K215" s="185"/>
      <c r="M215" s="189"/>
      <c r="O215" s="185"/>
      <c r="Q215" s="209"/>
      <c r="R215" s="185"/>
      <c r="U215" s="269"/>
      <c r="AA215" s="269"/>
    </row>
    <row r="216" spans="2:27" s="188" customFormat="1" x14ac:dyDescent="0.25">
      <c r="B216" s="266"/>
      <c r="E216" s="267"/>
      <c r="F216" s="267"/>
      <c r="G216" s="185"/>
      <c r="H216" s="268"/>
      <c r="I216" s="208"/>
      <c r="K216" s="185"/>
      <c r="M216" s="189"/>
      <c r="O216" s="185"/>
      <c r="Q216" s="209"/>
      <c r="R216" s="185"/>
      <c r="U216" s="269"/>
      <c r="AA216" s="269"/>
    </row>
    <row r="217" spans="2:27" s="188" customFormat="1" x14ac:dyDescent="0.25">
      <c r="B217" s="266"/>
      <c r="E217" s="267"/>
      <c r="F217" s="267"/>
      <c r="G217" s="185"/>
      <c r="H217" s="268"/>
      <c r="I217" s="208"/>
      <c r="K217" s="185"/>
      <c r="M217" s="189"/>
      <c r="O217" s="185"/>
      <c r="Q217" s="209"/>
      <c r="R217" s="185"/>
      <c r="U217" s="269"/>
      <c r="AA217" s="269"/>
    </row>
    <row r="218" spans="2:27" s="188" customFormat="1" x14ac:dyDescent="0.25">
      <c r="B218" s="266"/>
      <c r="E218" s="267"/>
      <c r="F218" s="267"/>
      <c r="G218" s="185"/>
      <c r="H218" s="268"/>
      <c r="I218" s="208"/>
      <c r="K218" s="185"/>
      <c r="M218" s="189"/>
      <c r="O218" s="185"/>
      <c r="Q218" s="209"/>
      <c r="R218" s="185"/>
      <c r="U218" s="269"/>
      <c r="AA218" s="269"/>
    </row>
    <row r="219" spans="2:27" s="188" customFormat="1" x14ac:dyDescent="0.25">
      <c r="B219" s="266"/>
      <c r="E219" s="267"/>
      <c r="F219" s="267"/>
      <c r="G219" s="185"/>
      <c r="H219" s="268"/>
      <c r="I219" s="208"/>
      <c r="K219" s="185"/>
      <c r="M219" s="189"/>
      <c r="O219" s="185"/>
      <c r="Q219" s="209"/>
      <c r="R219" s="185"/>
      <c r="U219" s="269"/>
      <c r="AA219" s="269"/>
    </row>
    <row r="220" spans="2:27" s="188" customFormat="1" x14ac:dyDescent="0.25">
      <c r="B220" s="266"/>
      <c r="E220" s="267"/>
      <c r="F220" s="267"/>
      <c r="G220" s="185"/>
      <c r="H220" s="268"/>
      <c r="I220" s="208"/>
      <c r="K220" s="185"/>
      <c r="M220" s="189"/>
      <c r="O220" s="185"/>
      <c r="Q220" s="209"/>
      <c r="R220" s="185"/>
      <c r="U220" s="269"/>
      <c r="AA220" s="269"/>
    </row>
    <row r="221" spans="2:27" s="188" customFormat="1" x14ac:dyDescent="0.25">
      <c r="B221" s="266"/>
      <c r="E221" s="267"/>
      <c r="F221" s="267"/>
      <c r="G221" s="185"/>
      <c r="H221" s="268"/>
      <c r="I221" s="208"/>
      <c r="K221" s="185"/>
      <c r="M221" s="189"/>
      <c r="O221" s="185"/>
      <c r="Q221" s="209"/>
      <c r="R221" s="185"/>
      <c r="U221" s="269"/>
      <c r="AA221" s="269"/>
    </row>
    <row r="222" spans="2:27" s="188" customFormat="1" x14ac:dyDescent="0.25">
      <c r="B222" s="266"/>
      <c r="E222" s="267"/>
      <c r="F222" s="267"/>
      <c r="G222" s="185"/>
      <c r="H222" s="268"/>
      <c r="I222" s="208"/>
      <c r="K222" s="185"/>
      <c r="M222" s="189"/>
      <c r="O222" s="185"/>
      <c r="Q222" s="209"/>
      <c r="R222" s="185"/>
      <c r="U222" s="269"/>
      <c r="AA222" s="269"/>
    </row>
    <row r="223" spans="2:27" s="188" customFormat="1" x14ac:dyDescent="0.25">
      <c r="B223" s="266"/>
      <c r="E223" s="267"/>
      <c r="F223" s="267"/>
      <c r="G223" s="185"/>
      <c r="H223" s="268"/>
      <c r="I223" s="208"/>
      <c r="K223" s="185"/>
      <c r="M223" s="189"/>
      <c r="O223" s="185"/>
      <c r="Q223" s="209"/>
      <c r="R223" s="185"/>
      <c r="U223" s="269"/>
      <c r="AA223" s="269"/>
    </row>
    <row r="224" spans="2:27" s="188" customFormat="1" x14ac:dyDescent="0.25">
      <c r="B224" s="266"/>
      <c r="E224" s="267"/>
      <c r="F224" s="267"/>
      <c r="G224" s="185"/>
      <c r="H224" s="268"/>
      <c r="I224" s="208"/>
      <c r="K224" s="185"/>
      <c r="M224" s="189"/>
      <c r="O224" s="185"/>
      <c r="Q224" s="209"/>
      <c r="R224" s="185"/>
      <c r="U224" s="269"/>
      <c r="AA224" s="269"/>
    </row>
    <row r="225" spans="2:27" s="188" customFormat="1" x14ac:dyDescent="0.25">
      <c r="B225" s="266"/>
      <c r="E225" s="267"/>
      <c r="F225" s="267"/>
      <c r="G225" s="185"/>
      <c r="H225" s="268"/>
      <c r="I225" s="208"/>
      <c r="K225" s="185"/>
      <c r="M225" s="189"/>
      <c r="O225" s="185"/>
      <c r="Q225" s="209"/>
      <c r="R225" s="185"/>
      <c r="U225" s="269"/>
      <c r="AA225" s="269"/>
    </row>
    <row r="226" spans="2:27" s="188" customFormat="1" x14ac:dyDescent="0.25">
      <c r="B226" s="266"/>
      <c r="E226" s="267"/>
      <c r="F226" s="267"/>
      <c r="G226" s="185"/>
      <c r="H226" s="268"/>
      <c r="I226" s="208"/>
      <c r="K226" s="185"/>
      <c r="M226" s="189"/>
      <c r="O226" s="185"/>
      <c r="Q226" s="209"/>
      <c r="R226" s="185"/>
      <c r="U226" s="269"/>
      <c r="AA226" s="269"/>
    </row>
    <row r="227" spans="2:27" s="188" customFormat="1" x14ac:dyDescent="0.25">
      <c r="B227" s="266"/>
      <c r="E227" s="267"/>
      <c r="F227" s="267"/>
      <c r="G227" s="185"/>
      <c r="H227" s="268"/>
      <c r="I227" s="208"/>
      <c r="K227" s="185"/>
      <c r="M227" s="189"/>
      <c r="O227" s="185"/>
      <c r="Q227" s="209"/>
      <c r="R227" s="185"/>
      <c r="U227" s="269"/>
      <c r="AA227" s="269"/>
    </row>
    <row r="228" spans="2:27" s="188" customFormat="1" x14ac:dyDescent="0.25">
      <c r="B228" s="266"/>
      <c r="E228" s="267"/>
      <c r="F228" s="267"/>
      <c r="G228" s="185"/>
      <c r="H228" s="268"/>
      <c r="I228" s="208"/>
      <c r="K228" s="185"/>
      <c r="M228" s="189"/>
      <c r="O228" s="185"/>
      <c r="Q228" s="209"/>
      <c r="R228" s="185"/>
      <c r="U228" s="269"/>
      <c r="AA228" s="269"/>
    </row>
    <row r="229" spans="2:27" s="188" customFormat="1" x14ac:dyDescent="0.25">
      <c r="B229" s="266"/>
      <c r="E229" s="267"/>
      <c r="F229" s="267"/>
      <c r="G229" s="185"/>
      <c r="H229" s="268"/>
      <c r="I229" s="208"/>
      <c r="K229" s="185"/>
      <c r="M229" s="189"/>
      <c r="O229" s="185"/>
      <c r="Q229" s="209"/>
      <c r="R229" s="185"/>
      <c r="U229" s="269"/>
      <c r="AA229" s="269"/>
    </row>
    <row r="230" spans="2:27" s="188" customFormat="1" x14ac:dyDescent="0.25">
      <c r="B230" s="266"/>
      <c r="E230" s="267"/>
      <c r="F230" s="267"/>
      <c r="G230" s="185"/>
      <c r="H230" s="268"/>
      <c r="I230" s="208"/>
      <c r="K230" s="185"/>
      <c r="M230" s="189"/>
      <c r="O230" s="185"/>
      <c r="Q230" s="209"/>
      <c r="R230" s="185"/>
      <c r="U230" s="269"/>
      <c r="AA230" s="269"/>
    </row>
    <row r="231" spans="2:27" s="188" customFormat="1" x14ac:dyDescent="0.25">
      <c r="B231" s="266"/>
      <c r="E231" s="267"/>
      <c r="F231" s="267"/>
      <c r="G231" s="185"/>
      <c r="H231" s="268"/>
      <c r="I231" s="208"/>
      <c r="K231" s="185"/>
      <c r="M231" s="189"/>
      <c r="O231" s="185"/>
      <c r="Q231" s="209"/>
      <c r="R231" s="185"/>
      <c r="U231" s="269"/>
      <c r="AA231" s="269"/>
    </row>
    <row r="232" spans="2:27" s="188" customFormat="1" x14ac:dyDescent="0.25">
      <c r="B232" s="266"/>
      <c r="E232" s="267"/>
      <c r="F232" s="267"/>
      <c r="G232" s="185"/>
      <c r="H232" s="268"/>
      <c r="I232" s="208"/>
      <c r="K232" s="185"/>
      <c r="M232" s="189"/>
      <c r="O232" s="185"/>
      <c r="Q232" s="209"/>
      <c r="R232" s="185"/>
      <c r="U232" s="269"/>
      <c r="AA232" s="269"/>
    </row>
    <row r="233" spans="2:27" s="188" customFormat="1" x14ac:dyDescent="0.25">
      <c r="B233" s="266"/>
      <c r="E233" s="267"/>
      <c r="F233" s="267"/>
      <c r="G233" s="185"/>
      <c r="H233" s="268"/>
      <c r="I233" s="208"/>
      <c r="K233" s="185"/>
      <c r="M233" s="189"/>
      <c r="O233" s="185"/>
      <c r="Q233" s="209"/>
      <c r="R233" s="185"/>
      <c r="U233" s="269"/>
      <c r="AA233" s="269"/>
    </row>
    <row r="234" spans="2:27" s="188" customFormat="1" x14ac:dyDescent="0.25">
      <c r="B234" s="266"/>
      <c r="E234" s="267"/>
      <c r="F234" s="267"/>
      <c r="G234" s="185"/>
      <c r="H234" s="268"/>
      <c r="I234" s="208"/>
      <c r="K234" s="185"/>
      <c r="M234" s="189"/>
      <c r="O234" s="185"/>
      <c r="Q234" s="209"/>
      <c r="R234" s="185"/>
      <c r="U234" s="269"/>
      <c r="AA234" s="269"/>
    </row>
    <row r="235" spans="2:27" s="188" customFormat="1" x14ac:dyDescent="0.25">
      <c r="B235" s="266"/>
      <c r="E235" s="267"/>
      <c r="F235" s="267"/>
      <c r="G235" s="185"/>
      <c r="H235" s="268"/>
      <c r="I235" s="208"/>
      <c r="K235" s="185"/>
      <c r="M235" s="189"/>
      <c r="O235" s="185"/>
      <c r="Q235" s="209"/>
      <c r="R235" s="185"/>
      <c r="U235" s="269"/>
      <c r="AA235" s="269"/>
    </row>
    <row r="236" spans="2:27" s="188" customFormat="1" x14ac:dyDescent="0.25">
      <c r="B236" s="266"/>
      <c r="E236" s="267"/>
      <c r="F236" s="267"/>
      <c r="G236" s="185"/>
      <c r="H236" s="268"/>
      <c r="I236" s="208"/>
      <c r="K236" s="185"/>
      <c r="M236" s="189"/>
      <c r="O236" s="185"/>
      <c r="Q236" s="209"/>
      <c r="R236" s="185"/>
      <c r="U236" s="269"/>
      <c r="AA236" s="269"/>
    </row>
    <row r="237" spans="2:27" s="188" customFormat="1" x14ac:dyDescent="0.25">
      <c r="B237" s="266"/>
      <c r="E237" s="267"/>
      <c r="F237" s="267"/>
      <c r="G237" s="185"/>
      <c r="H237" s="268"/>
      <c r="I237" s="208"/>
      <c r="K237" s="185"/>
      <c r="M237" s="189"/>
      <c r="O237" s="185"/>
      <c r="Q237" s="209"/>
      <c r="R237" s="185"/>
      <c r="U237" s="269"/>
      <c r="AA237" s="269"/>
    </row>
    <row r="238" spans="2:27" s="188" customFormat="1" x14ac:dyDescent="0.25">
      <c r="B238" s="266"/>
      <c r="E238" s="267"/>
      <c r="F238" s="267"/>
      <c r="G238" s="185"/>
      <c r="H238" s="268"/>
      <c r="I238" s="208"/>
      <c r="K238" s="185"/>
      <c r="M238" s="189"/>
      <c r="O238" s="185"/>
      <c r="Q238" s="209"/>
      <c r="R238" s="185"/>
      <c r="U238" s="269"/>
      <c r="AA238" s="269"/>
    </row>
    <row r="239" spans="2:27" s="188" customFormat="1" x14ac:dyDescent="0.25">
      <c r="B239" s="266"/>
      <c r="E239" s="267"/>
      <c r="F239" s="267"/>
      <c r="G239" s="185"/>
      <c r="H239" s="268"/>
      <c r="I239" s="208"/>
      <c r="K239" s="185"/>
      <c r="M239" s="189"/>
      <c r="O239" s="185"/>
      <c r="Q239" s="209"/>
      <c r="R239" s="185"/>
      <c r="U239" s="269"/>
      <c r="AA239" s="269"/>
    </row>
    <row r="240" spans="2:27" s="188" customFormat="1" x14ac:dyDescent="0.25">
      <c r="B240" s="266"/>
      <c r="E240" s="267"/>
      <c r="F240" s="267"/>
      <c r="G240" s="185"/>
      <c r="H240" s="268"/>
      <c r="I240" s="208"/>
      <c r="K240" s="185"/>
      <c r="M240" s="189"/>
      <c r="O240" s="185"/>
      <c r="Q240" s="209"/>
      <c r="R240" s="185"/>
      <c r="U240" s="269"/>
      <c r="AA240" s="269"/>
    </row>
    <row r="241" spans="2:27" s="188" customFormat="1" x14ac:dyDescent="0.25">
      <c r="B241" s="266"/>
      <c r="E241" s="267"/>
      <c r="F241" s="267"/>
      <c r="G241" s="185"/>
      <c r="H241" s="268"/>
      <c r="I241" s="208"/>
      <c r="K241" s="185"/>
      <c r="M241" s="189"/>
      <c r="O241" s="185"/>
      <c r="Q241" s="209"/>
      <c r="R241" s="185"/>
      <c r="U241" s="269"/>
      <c r="AA241" s="269"/>
    </row>
    <row r="242" spans="2:27" s="188" customFormat="1" x14ac:dyDescent="0.25">
      <c r="B242" s="266"/>
      <c r="E242" s="267"/>
      <c r="F242" s="267"/>
      <c r="G242" s="185"/>
      <c r="H242" s="268"/>
      <c r="I242" s="208"/>
      <c r="K242" s="185"/>
      <c r="M242" s="189"/>
      <c r="O242" s="185"/>
      <c r="Q242" s="209"/>
      <c r="R242" s="185"/>
      <c r="U242" s="269"/>
      <c r="AA242" s="269"/>
    </row>
    <row r="243" spans="2:27" s="188" customFormat="1" x14ac:dyDescent="0.25">
      <c r="B243" s="266"/>
      <c r="E243" s="267"/>
      <c r="F243" s="267"/>
      <c r="G243" s="185"/>
      <c r="H243" s="268"/>
      <c r="I243" s="208"/>
      <c r="K243" s="185"/>
      <c r="M243" s="189"/>
      <c r="O243" s="185"/>
      <c r="Q243" s="209"/>
      <c r="R243" s="185"/>
      <c r="U243" s="269"/>
      <c r="AA243" s="269"/>
    </row>
    <row r="244" spans="2:27" s="188" customFormat="1" x14ac:dyDescent="0.25">
      <c r="B244" s="266"/>
      <c r="E244" s="267"/>
      <c r="F244" s="267"/>
      <c r="G244" s="185"/>
      <c r="H244" s="268"/>
      <c r="I244" s="208"/>
      <c r="K244" s="185"/>
      <c r="M244" s="189"/>
      <c r="O244" s="185"/>
      <c r="Q244" s="209"/>
      <c r="R244" s="185"/>
      <c r="U244" s="269"/>
      <c r="AA244" s="269"/>
    </row>
    <row r="245" spans="2:27" s="188" customFormat="1" x14ac:dyDescent="0.25">
      <c r="B245" s="266"/>
      <c r="E245" s="267"/>
      <c r="F245" s="267"/>
      <c r="G245" s="185"/>
      <c r="H245" s="268"/>
      <c r="I245" s="208"/>
      <c r="K245" s="185"/>
      <c r="M245" s="189"/>
      <c r="O245" s="185"/>
      <c r="Q245" s="209"/>
      <c r="R245" s="185"/>
      <c r="U245" s="269"/>
      <c r="AA245" s="269"/>
    </row>
    <row r="246" spans="2:27" s="188" customFormat="1" x14ac:dyDescent="0.25">
      <c r="B246" s="266"/>
      <c r="E246" s="267"/>
      <c r="F246" s="267"/>
      <c r="G246" s="185"/>
      <c r="H246" s="268"/>
      <c r="I246" s="208"/>
      <c r="K246" s="185"/>
      <c r="M246" s="189"/>
      <c r="O246" s="185"/>
      <c r="Q246" s="209"/>
      <c r="R246" s="185"/>
      <c r="U246" s="269"/>
      <c r="AA246" s="269"/>
    </row>
    <row r="247" spans="2:27" s="188" customFormat="1" x14ac:dyDescent="0.25">
      <c r="B247" s="266"/>
      <c r="E247" s="267"/>
      <c r="F247" s="267"/>
      <c r="G247" s="185"/>
      <c r="H247" s="268"/>
      <c r="I247" s="208"/>
      <c r="K247" s="185"/>
      <c r="M247" s="189"/>
      <c r="O247" s="185"/>
      <c r="Q247" s="209"/>
      <c r="R247" s="185"/>
      <c r="U247" s="269"/>
      <c r="AA247" s="269"/>
    </row>
    <row r="248" spans="2:27" s="188" customFormat="1" x14ac:dyDescent="0.25">
      <c r="B248" s="266"/>
      <c r="E248" s="267"/>
      <c r="F248" s="267"/>
      <c r="G248" s="185"/>
      <c r="H248" s="268"/>
      <c r="I248" s="208"/>
      <c r="K248" s="185"/>
      <c r="M248" s="189"/>
      <c r="O248" s="185"/>
      <c r="Q248" s="209"/>
      <c r="R248" s="185"/>
      <c r="U248" s="269"/>
      <c r="AA248" s="269"/>
    </row>
    <row r="249" spans="2:27" s="188" customFormat="1" x14ac:dyDescent="0.25">
      <c r="B249" s="266"/>
      <c r="E249" s="267"/>
      <c r="F249" s="267"/>
      <c r="G249" s="185"/>
      <c r="H249" s="268"/>
      <c r="I249" s="208"/>
      <c r="K249" s="185"/>
      <c r="M249" s="189"/>
      <c r="O249" s="185"/>
      <c r="Q249" s="209"/>
      <c r="R249" s="185"/>
      <c r="U249" s="269"/>
      <c r="AA249" s="269"/>
    </row>
    <row r="250" spans="2:27" s="188" customFormat="1" x14ac:dyDescent="0.25">
      <c r="B250" s="266"/>
      <c r="E250" s="267"/>
      <c r="F250" s="267"/>
      <c r="G250" s="185"/>
      <c r="H250" s="268"/>
      <c r="I250" s="208"/>
      <c r="K250" s="185"/>
      <c r="M250" s="189"/>
      <c r="O250" s="185"/>
      <c r="Q250" s="209"/>
      <c r="R250" s="185"/>
      <c r="U250" s="269"/>
      <c r="AA250" s="269"/>
    </row>
    <row r="251" spans="2:27" s="188" customFormat="1" x14ac:dyDescent="0.25">
      <c r="B251" s="266"/>
      <c r="E251" s="267"/>
      <c r="F251" s="267"/>
      <c r="G251" s="185"/>
      <c r="H251" s="268"/>
      <c r="I251" s="208"/>
      <c r="K251" s="185"/>
      <c r="M251" s="189"/>
      <c r="O251" s="185"/>
      <c r="Q251" s="209"/>
      <c r="R251" s="185"/>
      <c r="U251" s="269"/>
      <c r="AA251" s="269"/>
    </row>
    <row r="252" spans="2:27" s="188" customFormat="1" x14ac:dyDescent="0.25">
      <c r="B252" s="266"/>
      <c r="E252" s="267"/>
      <c r="F252" s="267"/>
      <c r="G252" s="185"/>
      <c r="H252" s="268"/>
      <c r="I252" s="208"/>
      <c r="K252" s="185"/>
      <c r="M252" s="189"/>
      <c r="O252" s="185"/>
      <c r="Q252" s="209"/>
      <c r="R252" s="185"/>
      <c r="U252" s="269"/>
      <c r="AA252" s="269"/>
    </row>
    <row r="253" spans="2:27" s="188" customFormat="1" x14ac:dyDescent="0.25">
      <c r="B253" s="266"/>
      <c r="E253" s="267"/>
      <c r="F253" s="267"/>
      <c r="G253" s="185"/>
      <c r="H253" s="268"/>
      <c r="I253" s="208"/>
      <c r="K253" s="185"/>
      <c r="M253" s="189"/>
      <c r="O253" s="185"/>
      <c r="Q253" s="209"/>
      <c r="R253" s="185"/>
      <c r="U253" s="269"/>
      <c r="AA253" s="269"/>
    </row>
    <row r="254" spans="2:27" s="188" customFormat="1" x14ac:dyDescent="0.25">
      <c r="B254" s="266"/>
      <c r="E254" s="267"/>
      <c r="F254" s="267"/>
      <c r="G254" s="185"/>
      <c r="H254" s="268"/>
      <c r="I254" s="208"/>
      <c r="K254" s="185"/>
      <c r="M254" s="189"/>
      <c r="O254" s="185"/>
      <c r="Q254" s="209"/>
      <c r="R254" s="185"/>
      <c r="U254" s="269"/>
      <c r="AA254" s="269"/>
    </row>
    <row r="255" spans="2:27" s="188" customFormat="1" x14ac:dyDescent="0.25">
      <c r="B255" s="266"/>
      <c r="E255" s="267"/>
      <c r="F255" s="267"/>
      <c r="G255" s="185"/>
      <c r="H255" s="268"/>
      <c r="I255" s="208"/>
      <c r="K255" s="185"/>
      <c r="M255" s="189"/>
      <c r="O255" s="185"/>
      <c r="Q255" s="209"/>
      <c r="R255" s="185"/>
      <c r="U255" s="269"/>
      <c r="AA255" s="269"/>
    </row>
    <row r="256" spans="2:27" s="188" customFormat="1" x14ac:dyDescent="0.25">
      <c r="B256" s="266"/>
      <c r="E256" s="267"/>
      <c r="F256" s="267"/>
      <c r="G256" s="185"/>
      <c r="H256" s="268"/>
      <c r="I256" s="208"/>
      <c r="K256" s="185"/>
      <c r="M256" s="189"/>
      <c r="O256" s="185"/>
      <c r="Q256" s="209"/>
      <c r="R256" s="185"/>
      <c r="U256" s="269"/>
      <c r="AA256" s="269"/>
    </row>
    <row r="257" spans="2:27" s="188" customFormat="1" x14ac:dyDescent="0.25">
      <c r="B257" s="266"/>
      <c r="E257" s="267"/>
      <c r="F257" s="267"/>
      <c r="G257" s="185"/>
      <c r="H257" s="268"/>
      <c r="I257" s="208"/>
      <c r="K257" s="185"/>
      <c r="M257" s="189"/>
      <c r="O257" s="185"/>
      <c r="Q257" s="209"/>
      <c r="R257" s="185"/>
      <c r="U257" s="269"/>
      <c r="AA257" s="269"/>
    </row>
    <row r="258" spans="2:27" s="188" customFormat="1" x14ac:dyDescent="0.25">
      <c r="B258" s="266"/>
      <c r="E258" s="267"/>
      <c r="F258" s="267"/>
      <c r="G258" s="185"/>
      <c r="H258" s="268"/>
      <c r="I258" s="208"/>
      <c r="K258" s="185"/>
      <c r="M258" s="189"/>
      <c r="O258" s="185"/>
      <c r="Q258" s="209"/>
      <c r="R258" s="185"/>
      <c r="U258" s="269"/>
      <c r="AA258" s="269"/>
    </row>
    <row r="259" spans="2:27" s="188" customFormat="1" x14ac:dyDescent="0.25">
      <c r="B259" s="266"/>
      <c r="E259" s="267"/>
      <c r="F259" s="267"/>
      <c r="G259" s="185"/>
      <c r="H259" s="268"/>
      <c r="I259" s="208"/>
      <c r="K259" s="185"/>
      <c r="M259" s="189"/>
      <c r="O259" s="185"/>
      <c r="Q259" s="209"/>
      <c r="R259" s="185"/>
      <c r="U259" s="269"/>
      <c r="AA259" s="269"/>
    </row>
    <row r="260" spans="2:27" s="188" customFormat="1" x14ac:dyDescent="0.25">
      <c r="B260" s="266"/>
      <c r="E260" s="267"/>
      <c r="F260" s="267"/>
      <c r="G260" s="185"/>
      <c r="H260" s="268"/>
      <c r="I260" s="208"/>
      <c r="K260" s="185"/>
      <c r="M260" s="189"/>
      <c r="O260" s="185"/>
      <c r="Q260" s="209"/>
      <c r="R260" s="185"/>
      <c r="U260" s="269"/>
      <c r="AA260" s="269"/>
    </row>
    <row r="261" spans="2:27" s="188" customFormat="1" x14ac:dyDescent="0.25">
      <c r="B261" s="266"/>
      <c r="E261" s="267"/>
      <c r="F261" s="267"/>
      <c r="G261" s="185"/>
      <c r="H261" s="268"/>
      <c r="I261" s="208"/>
      <c r="K261" s="185"/>
      <c r="M261" s="189"/>
      <c r="O261" s="185"/>
      <c r="Q261" s="209"/>
      <c r="R261" s="185"/>
      <c r="U261" s="269"/>
      <c r="AA261" s="269"/>
    </row>
    <row r="262" spans="2:27" s="188" customFormat="1" x14ac:dyDescent="0.25">
      <c r="B262" s="266"/>
      <c r="E262" s="267"/>
      <c r="F262" s="267"/>
      <c r="G262" s="185"/>
      <c r="H262" s="268"/>
      <c r="I262" s="208"/>
      <c r="K262" s="185"/>
      <c r="M262" s="189"/>
      <c r="O262" s="185"/>
      <c r="Q262" s="209"/>
      <c r="R262" s="185"/>
      <c r="U262" s="269"/>
      <c r="AA262" s="269"/>
    </row>
    <row r="263" spans="2:27" s="188" customFormat="1" x14ac:dyDescent="0.25">
      <c r="B263" s="266"/>
      <c r="E263" s="267"/>
      <c r="F263" s="267"/>
      <c r="G263" s="185"/>
      <c r="H263" s="268"/>
      <c r="I263" s="208"/>
      <c r="K263" s="185"/>
      <c r="M263" s="189"/>
      <c r="O263" s="185"/>
      <c r="Q263" s="209"/>
      <c r="R263" s="185"/>
      <c r="U263" s="269"/>
      <c r="AA263" s="269"/>
    </row>
    <row r="264" spans="2:27" s="188" customFormat="1" x14ac:dyDescent="0.25">
      <c r="B264" s="266"/>
      <c r="E264" s="267"/>
      <c r="F264" s="267"/>
      <c r="G264" s="185"/>
      <c r="H264" s="268"/>
      <c r="I264" s="208"/>
      <c r="K264" s="185"/>
      <c r="M264" s="189"/>
      <c r="O264" s="185"/>
      <c r="Q264" s="209"/>
      <c r="R264" s="185"/>
      <c r="U264" s="269"/>
      <c r="AA264" s="269"/>
    </row>
    <row r="265" spans="2:27" s="188" customFormat="1" x14ac:dyDescent="0.25">
      <c r="B265" s="266"/>
      <c r="E265" s="267"/>
      <c r="F265" s="267"/>
      <c r="G265" s="185"/>
      <c r="H265" s="268"/>
      <c r="I265" s="208"/>
      <c r="K265" s="185"/>
      <c r="M265" s="189"/>
      <c r="O265" s="185"/>
      <c r="Q265" s="209"/>
      <c r="R265" s="185"/>
      <c r="U265" s="269"/>
      <c r="AA265" s="269"/>
    </row>
    <row r="266" spans="2:27" s="188" customFormat="1" x14ac:dyDescent="0.25">
      <c r="B266" s="266"/>
      <c r="E266" s="267"/>
      <c r="F266" s="267"/>
      <c r="G266" s="185"/>
      <c r="H266" s="268"/>
      <c r="I266" s="208"/>
      <c r="K266" s="185"/>
      <c r="M266" s="189"/>
      <c r="O266" s="185"/>
      <c r="Q266" s="209"/>
      <c r="R266" s="185"/>
      <c r="U266" s="269"/>
      <c r="AA266" s="269"/>
    </row>
    <row r="267" spans="2:27" s="188" customFormat="1" x14ac:dyDescent="0.25">
      <c r="B267" s="266"/>
      <c r="E267" s="267"/>
      <c r="F267" s="267"/>
      <c r="G267" s="185"/>
      <c r="H267" s="268"/>
      <c r="I267" s="208"/>
      <c r="K267" s="185"/>
      <c r="M267" s="189"/>
      <c r="O267" s="185"/>
      <c r="Q267" s="209"/>
      <c r="R267" s="185"/>
      <c r="U267" s="269"/>
      <c r="AA267" s="269"/>
    </row>
    <row r="268" spans="2:27" s="188" customFormat="1" x14ac:dyDescent="0.25">
      <c r="B268" s="266"/>
      <c r="E268" s="267"/>
      <c r="F268" s="267"/>
      <c r="G268" s="185"/>
      <c r="H268" s="268"/>
      <c r="I268" s="208"/>
      <c r="K268" s="185"/>
      <c r="M268" s="189"/>
      <c r="O268" s="185"/>
      <c r="Q268" s="209"/>
      <c r="R268" s="185"/>
      <c r="U268" s="269"/>
      <c r="AA268" s="269"/>
    </row>
    <row r="269" spans="2:27" s="188" customFormat="1" x14ac:dyDescent="0.25">
      <c r="B269" s="266"/>
      <c r="E269" s="267"/>
      <c r="F269" s="267"/>
      <c r="G269" s="185"/>
      <c r="H269" s="268"/>
      <c r="I269" s="208"/>
      <c r="K269" s="185"/>
      <c r="M269" s="189"/>
      <c r="O269" s="185"/>
      <c r="Q269" s="209"/>
      <c r="R269" s="185"/>
      <c r="U269" s="269"/>
      <c r="AA269" s="269"/>
    </row>
    <row r="270" spans="2:27" s="188" customFormat="1" x14ac:dyDescent="0.25">
      <c r="B270" s="266"/>
      <c r="E270" s="267"/>
      <c r="F270" s="267"/>
      <c r="G270" s="185"/>
      <c r="H270" s="268"/>
      <c r="I270" s="208"/>
      <c r="K270" s="185"/>
      <c r="M270" s="189"/>
      <c r="O270" s="185"/>
      <c r="Q270" s="209"/>
      <c r="R270" s="185"/>
      <c r="U270" s="269"/>
      <c r="AA270" s="269"/>
    </row>
    <row r="271" spans="2:27" s="188" customFormat="1" x14ac:dyDescent="0.25">
      <c r="B271" s="266"/>
      <c r="E271" s="267"/>
      <c r="F271" s="267"/>
      <c r="G271" s="185"/>
      <c r="H271" s="268"/>
      <c r="I271" s="208"/>
      <c r="K271" s="185"/>
      <c r="M271" s="189"/>
      <c r="O271" s="185"/>
      <c r="Q271" s="209"/>
      <c r="R271" s="185"/>
      <c r="U271" s="269"/>
      <c r="AA271" s="269"/>
    </row>
    <row r="272" spans="2:27" s="188" customFormat="1" x14ac:dyDescent="0.25">
      <c r="B272" s="266"/>
      <c r="E272" s="267"/>
      <c r="F272" s="267"/>
      <c r="G272" s="185"/>
      <c r="H272" s="268"/>
      <c r="I272" s="208"/>
      <c r="K272" s="185"/>
      <c r="M272" s="189"/>
      <c r="O272" s="185"/>
      <c r="Q272" s="209"/>
      <c r="R272" s="185"/>
      <c r="U272" s="269"/>
      <c r="AA272" s="269"/>
    </row>
    <row r="273" spans="2:27" s="188" customFormat="1" x14ac:dyDescent="0.25">
      <c r="B273" s="266"/>
      <c r="E273" s="267"/>
      <c r="F273" s="267"/>
      <c r="G273" s="185"/>
      <c r="H273" s="268"/>
      <c r="I273" s="208"/>
      <c r="K273" s="185"/>
      <c r="M273" s="189"/>
      <c r="O273" s="185"/>
      <c r="Q273" s="209"/>
      <c r="R273" s="185"/>
      <c r="U273" s="269"/>
      <c r="AA273" s="269"/>
    </row>
    <row r="274" spans="2:27" s="188" customFormat="1" x14ac:dyDescent="0.25">
      <c r="B274" s="266"/>
      <c r="E274" s="267"/>
      <c r="F274" s="267"/>
      <c r="G274" s="185"/>
      <c r="H274" s="268"/>
      <c r="I274" s="208"/>
      <c r="K274" s="185"/>
      <c r="M274" s="189"/>
      <c r="O274" s="185"/>
      <c r="Q274" s="209"/>
      <c r="R274" s="185"/>
      <c r="U274" s="269"/>
      <c r="AA274" s="269"/>
    </row>
    <row r="275" spans="2:27" s="188" customFormat="1" x14ac:dyDescent="0.25">
      <c r="B275" s="266"/>
      <c r="E275" s="267"/>
      <c r="F275" s="267"/>
      <c r="G275" s="185"/>
      <c r="H275" s="268"/>
      <c r="I275" s="208"/>
      <c r="K275" s="185"/>
      <c r="M275" s="189"/>
      <c r="O275" s="185"/>
      <c r="Q275" s="209"/>
      <c r="R275" s="185"/>
      <c r="U275" s="269"/>
      <c r="AA275" s="269"/>
    </row>
    <row r="276" spans="2:27" s="188" customFormat="1" x14ac:dyDescent="0.25">
      <c r="B276" s="266"/>
      <c r="E276" s="267"/>
      <c r="F276" s="267"/>
      <c r="G276" s="185"/>
      <c r="H276" s="268"/>
      <c r="I276" s="208"/>
      <c r="K276" s="185"/>
      <c r="M276" s="189"/>
      <c r="O276" s="185"/>
      <c r="Q276" s="209"/>
      <c r="R276" s="185"/>
      <c r="U276" s="269"/>
      <c r="AA276" s="269"/>
    </row>
    <row r="277" spans="2:27" s="188" customFormat="1" x14ac:dyDescent="0.25">
      <c r="B277" s="266"/>
      <c r="E277" s="267"/>
      <c r="F277" s="267"/>
      <c r="G277" s="185"/>
      <c r="H277" s="268"/>
      <c r="I277" s="208"/>
      <c r="K277" s="185"/>
      <c r="M277" s="189"/>
      <c r="O277" s="185"/>
      <c r="Q277" s="209"/>
      <c r="R277" s="185"/>
      <c r="U277" s="269"/>
      <c r="AA277" s="269"/>
    </row>
    <row r="278" spans="2:27" s="188" customFormat="1" x14ac:dyDescent="0.25">
      <c r="B278" s="266"/>
      <c r="E278" s="267"/>
      <c r="F278" s="267"/>
      <c r="G278" s="185"/>
      <c r="H278" s="268"/>
      <c r="I278" s="208"/>
      <c r="K278" s="185"/>
      <c r="M278" s="189"/>
      <c r="O278" s="185"/>
      <c r="Q278" s="209"/>
      <c r="R278" s="185"/>
      <c r="U278" s="269"/>
      <c r="AA278" s="269"/>
    </row>
    <row r="279" spans="2:27" s="188" customFormat="1" x14ac:dyDescent="0.25">
      <c r="B279" s="266"/>
      <c r="E279" s="267"/>
      <c r="F279" s="267"/>
      <c r="G279" s="185"/>
      <c r="H279" s="268"/>
      <c r="I279" s="208"/>
      <c r="K279" s="185"/>
      <c r="M279" s="189"/>
      <c r="O279" s="185"/>
      <c r="Q279" s="209"/>
      <c r="R279" s="185"/>
      <c r="U279" s="269"/>
      <c r="AA279" s="269"/>
    </row>
    <row r="280" spans="2:27" s="188" customFormat="1" x14ac:dyDescent="0.25">
      <c r="B280" s="266"/>
      <c r="E280" s="267"/>
      <c r="F280" s="267"/>
      <c r="G280" s="185"/>
      <c r="H280" s="268"/>
      <c r="I280" s="208"/>
      <c r="K280" s="185"/>
      <c r="M280" s="189"/>
      <c r="O280" s="185"/>
      <c r="Q280" s="209"/>
      <c r="R280" s="185"/>
      <c r="U280" s="269"/>
      <c r="AA280" s="269"/>
    </row>
    <row r="281" spans="2:27" s="188" customFormat="1" x14ac:dyDescent="0.25">
      <c r="B281" s="266"/>
      <c r="E281" s="267"/>
      <c r="F281" s="267"/>
      <c r="G281" s="185"/>
      <c r="H281" s="268"/>
      <c r="I281" s="208"/>
      <c r="K281" s="185"/>
      <c r="M281" s="189"/>
      <c r="O281" s="185"/>
      <c r="Q281" s="209"/>
      <c r="R281" s="185"/>
      <c r="U281" s="269"/>
      <c r="AA281" s="269"/>
    </row>
    <row r="282" spans="2:27" s="188" customFormat="1" x14ac:dyDescent="0.25">
      <c r="B282" s="266"/>
      <c r="E282" s="267"/>
      <c r="F282" s="267"/>
      <c r="G282" s="185"/>
      <c r="H282" s="268"/>
      <c r="I282" s="208"/>
      <c r="K282" s="185"/>
      <c r="M282" s="189"/>
      <c r="O282" s="185"/>
      <c r="Q282" s="209"/>
      <c r="R282" s="185"/>
      <c r="U282" s="269"/>
      <c r="AA282" s="269"/>
    </row>
    <row r="283" spans="2:27" s="188" customFormat="1" x14ac:dyDescent="0.25">
      <c r="B283" s="266"/>
      <c r="E283" s="267"/>
      <c r="F283" s="267"/>
      <c r="G283" s="185"/>
      <c r="H283" s="268"/>
      <c r="I283" s="208"/>
      <c r="K283" s="185"/>
      <c r="M283" s="189"/>
      <c r="O283" s="185"/>
      <c r="Q283" s="209"/>
      <c r="R283" s="185"/>
      <c r="U283" s="269"/>
      <c r="AA283" s="269"/>
    </row>
    <row r="284" spans="2:27" s="188" customFormat="1" x14ac:dyDescent="0.25">
      <c r="B284" s="266"/>
      <c r="E284" s="267"/>
      <c r="F284" s="267"/>
      <c r="G284" s="185"/>
      <c r="H284" s="268"/>
      <c r="I284" s="208"/>
      <c r="K284" s="185"/>
      <c r="M284" s="189"/>
      <c r="O284" s="185"/>
      <c r="Q284" s="209"/>
      <c r="R284" s="185"/>
      <c r="U284" s="269"/>
      <c r="AA284" s="269"/>
    </row>
    <row r="285" spans="2:27" s="188" customFormat="1" x14ac:dyDescent="0.25">
      <c r="B285" s="266"/>
      <c r="E285" s="267"/>
      <c r="F285" s="267"/>
      <c r="G285" s="185"/>
      <c r="H285" s="268"/>
      <c r="I285" s="208"/>
      <c r="K285" s="185"/>
      <c r="M285" s="189"/>
      <c r="O285" s="185"/>
      <c r="Q285" s="209"/>
      <c r="R285" s="185"/>
      <c r="U285" s="269"/>
      <c r="AA285" s="269"/>
    </row>
    <row r="286" spans="2:27" s="188" customFormat="1" x14ac:dyDescent="0.25">
      <c r="B286" s="266"/>
      <c r="E286" s="267"/>
      <c r="F286" s="267"/>
      <c r="G286" s="185"/>
      <c r="H286" s="268"/>
      <c r="I286" s="208"/>
      <c r="K286" s="185"/>
      <c r="M286" s="189"/>
      <c r="O286" s="185"/>
      <c r="Q286" s="209"/>
      <c r="R286" s="185"/>
      <c r="U286" s="269"/>
      <c r="AA286" s="269"/>
    </row>
    <row r="287" spans="2:27" s="188" customFormat="1" x14ac:dyDescent="0.25">
      <c r="B287" s="266"/>
      <c r="E287" s="267"/>
      <c r="F287" s="267"/>
      <c r="G287" s="185"/>
      <c r="H287" s="268"/>
      <c r="I287" s="208"/>
      <c r="K287" s="185"/>
      <c r="M287" s="189"/>
      <c r="O287" s="185"/>
      <c r="Q287" s="209"/>
      <c r="R287" s="185"/>
      <c r="U287" s="269"/>
      <c r="AA287" s="269"/>
    </row>
    <row r="288" spans="2:27" s="188" customFormat="1" x14ac:dyDescent="0.25">
      <c r="B288" s="266"/>
      <c r="E288" s="267"/>
      <c r="F288" s="267"/>
      <c r="G288" s="185"/>
      <c r="H288" s="268"/>
      <c r="I288" s="208"/>
      <c r="K288" s="185"/>
      <c r="M288" s="189"/>
      <c r="O288" s="185"/>
      <c r="Q288" s="209"/>
      <c r="R288" s="185"/>
      <c r="U288" s="269"/>
      <c r="AA288" s="269"/>
    </row>
    <row r="289" spans="2:27" s="188" customFormat="1" x14ac:dyDescent="0.25">
      <c r="B289" s="266"/>
      <c r="E289" s="267"/>
      <c r="F289" s="267"/>
      <c r="G289" s="185"/>
      <c r="H289" s="268"/>
      <c r="I289" s="208"/>
      <c r="K289" s="185"/>
      <c r="M289" s="189"/>
      <c r="O289" s="185"/>
      <c r="Q289" s="209"/>
      <c r="R289" s="185"/>
      <c r="U289" s="269"/>
      <c r="AA289" s="269"/>
    </row>
    <row r="290" spans="2:27" s="188" customFormat="1" x14ac:dyDescent="0.25">
      <c r="B290" s="266"/>
      <c r="E290" s="267"/>
      <c r="F290" s="267"/>
      <c r="G290" s="185"/>
      <c r="H290" s="268"/>
      <c r="I290" s="208"/>
      <c r="K290" s="185"/>
      <c r="M290" s="189"/>
      <c r="O290" s="185"/>
      <c r="Q290" s="209"/>
      <c r="R290" s="185"/>
      <c r="U290" s="269"/>
      <c r="AA290" s="269"/>
    </row>
    <row r="291" spans="2:27" s="188" customFormat="1" x14ac:dyDescent="0.25">
      <c r="B291" s="266"/>
      <c r="E291" s="267"/>
      <c r="F291" s="267"/>
      <c r="G291" s="185"/>
      <c r="H291" s="268"/>
      <c r="I291" s="208"/>
      <c r="K291" s="185"/>
      <c r="M291" s="189"/>
      <c r="O291" s="185"/>
      <c r="Q291" s="209"/>
      <c r="R291" s="185"/>
      <c r="U291" s="269"/>
      <c r="AA291" s="269"/>
    </row>
    <row r="292" spans="2:27" s="188" customFormat="1" x14ac:dyDescent="0.25">
      <c r="B292" s="266"/>
      <c r="E292" s="267"/>
      <c r="F292" s="267"/>
      <c r="G292" s="185"/>
      <c r="H292" s="268"/>
      <c r="I292" s="208"/>
      <c r="K292" s="185"/>
      <c r="M292" s="189"/>
      <c r="O292" s="185"/>
      <c r="Q292" s="209"/>
      <c r="R292" s="185"/>
      <c r="U292" s="269"/>
      <c r="AA292" s="269"/>
    </row>
    <row r="293" spans="2:27" s="188" customFormat="1" x14ac:dyDescent="0.25">
      <c r="B293" s="266"/>
      <c r="E293" s="267"/>
      <c r="F293" s="267"/>
      <c r="G293" s="185"/>
      <c r="H293" s="268"/>
      <c r="I293" s="208"/>
      <c r="K293" s="185"/>
      <c r="M293" s="189"/>
      <c r="O293" s="185"/>
      <c r="Q293" s="209"/>
      <c r="R293" s="185"/>
      <c r="U293" s="269"/>
      <c r="AA293" s="269"/>
    </row>
    <row r="294" spans="2:27" s="188" customFormat="1" x14ac:dyDescent="0.25">
      <c r="B294" s="266"/>
      <c r="E294" s="267"/>
      <c r="F294" s="267"/>
      <c r="G294" s="185"/>
      <c r="H294" s="268"/>
      <c r="I294" s="208"/>
      <c r="K294" s="185"/>
      <c r="M294" s="189"/>
      <c r="O294" s="185"/>
      <c r="Q294" s="209"/>
      <c r="R294" s="185"/>
      <c r="U294" s="269"/>
      <c r="AA294" s="269"/>
    </row>
    <row r="295" spans="2:27" s="188" customFormat="1" x14ac:dyDescent="0.25">
      <c r="B295" s="266"/>
      <c r="E295" s="267"/>
      <c r="F295" s="267"/>
      <c r="G295" s="185"/>
      <c r="H295" s="268"/>
      <c r="I295" s="208"/>
      <c r="K295" s="185"/>
      <c r="M295" s="189"/>
      <c r="O295" s="185"/>
      <c r="Q295" s="209"/>
      <c r="R295" s="185"/>
      <c r="U295" s="269"/>
      <c r="AA295" s="269"/>
    </row>
    <row r="296" spans="2:27" s="188" customFormat="1" x14ac:dyDescent="0.25">
      <c r="B296" s="266"/>
      <c r="E296" s="267"/>
      <c r="F296" s="267"/>
      <c r="G296" s="185"/>
      <c r="H296" s="268"/>
      <c r="I296" s="208"/>
      <c r="K296" s="185"/>
      <c r="M296" s="189"/>
      <c r="O296" s="185"/>
      <c r="Q296" s="209"/>
      <c r="R296" s="185"/>
      <c r="U296" s="269"/>
      <c r="AA296" s="269"/>
    </row>
    <row r="297" spans="2:27" s="188" customFormat="1" x14ac:dyDescent="0.25">
      <c r="B297" s="266"/>
      <c r="E297" s="267"/>
      <c r="F297" s="267"/>
      <c r="G297" s="185"/>
      <c r="H297" s="268"/>
      <c r="I297" s="208"/>
      <c r="K297" s="185"/>
      <c r="M297" s="189"/>
      <c r="O297" s="185"/>
      <c r="Q297" s="209"/>
      <c r="R297" s="185"/>
      <c r="U297" s="269"/>
      <c r="AA297" s="269"/>
    </row>
    <row r="298" spans="2:27" s="188" customFormat="1" x14ac:dyDescent="0.25">
      <c r="B298" s="266"/>
      <c r="E298" s="267"/>
      <c r="F298" s="267"/>
      <c r="G298" s="185"/>
      <c r="H298" s="268"/>
      <c r="I298" s="208"/>
      <c r="K298" s="185"/>
      <c r="M298" s="189"/>
      <c r="O298" s="185"/>
      <c r="Q298" s="209"/>
      <c r="R298" s="185"/>
      <c r="U298" s="269"/>
      <c r="AA298" s="269"/>
    </row>
    <row r="299" spans="2:27" s="188" customFormat="1" x14ac:dyDescent="0.25">
      <c r="B299" s="266"/>
      <c r="E299" s="267"/>
      <c r="F299" s="267"/>
      <c r="G299" s="185"/>
      <c r="H299" s="268"/>
      <c r="I299" s="208"/>
      <c r="K299" s="185"/>
      <c r="M299" s="189"/>
      <c r="O299" s="185"/>
      <c r="Q299" s="209"/>
      <c r="R299" s="185"/>
      <c r="U299" s="269"/>
      <c r="AA299" s="269"/>
    </row>
    <row r="300" spans="2:27" s="188" customFormat="1" x14ac:dyDescent="0.25">
      <c r="B300" s="266"/>
      <c r="E300" s="267"/>
      <c r="F300" s="267"/>
      <c r="G300" s="185"/>
      <c r="H300" s="268"/>
      <c r="I300" s="208"/>
      <c r="K300" s="185"/>
      <c r="M300" s="189"/>
      <c r="O300" s="185"/>
      <c r="Q300" s="209"/>
      <c r="R300" s="185"/>
      <c r="U300" s="269"/>
      <c r="AA300" s="269"/>
    </row>
    <row r="301" spans="2:27" s="188" customFormat="1" x14ac:dyDescent="0.25">
      <c r="B301" s="266"/>
      <c r="E301" s="267"/>
      <c r="F301" s="267"/>
      <c r="G301" s="185"/>
      <c r="H301" s="268"/>
      <c r="I301" s="208"/>
      <c r="K301" s="185"/>
      <c r="M301" s="189"/>
      <c r="O301" s="185"/>
      <c r="Q301" s="209"/>
      <c r="R301" s="185"/>
      <c r="U301" s="269"/>
      <c r="AA301" s="269"/>
    </row>
    <row r="302" spans="2:27" s="188" customFormat="1" x14ac:dyDescent="0.25">
      <c r="B302" s="266"/>
      <c r="E302" s="267"/>
      <c r="F302" s="267"/>
      <c r="G302" s="185"/>
      <c r="H302" s="268"/>
      <c r="I302" s="208"/>
      <c r="K302" s="185"/>
      <c r="M302" s="189"/>
      <c r="O302" s="185"/>
      <c r="Q302" s="209"/>
      <c r="R302" s="185"/>
      <c r="U302" s="269"/>
      <c r="AA302" s="269"/>
    </row>
    <row r="303" spans="2:27" s="188" customFormat="1" x14ac:dyDescent="0.25">
      <c r="B303" s="266"/>
      <c r="E303" s="267"/>
      <c r="F303" s="267"/>
      <c r="G303" s="185"/>
      <c r="H303" s="268"/>
      <c r="I303" s="208"/>
      <c r="K303" s="185"/>
      <c r="M303" s="189"/>
      <c r="O303" s="185"/>
      <c r="Q303" s="209"/>
      <c r="R303" s="185"/>
      <c r="U303" s="269"/>
      <c r="AA303" s="269"/>
    </row>
    <row r="304" spans="2:27" s="188" customFormat="1" x14ac:dyDescent="0.25">
      <c r="B304" s="266"/>
      <c r="E304" s="267"/>
      <c r="F304" s="267"/>
      <c r="G304" s="185"/>
      <c r="H304" s="268"/>
      <c r="I304" s="208"/>
      <c r="K304" s="185"/>
      <c r="M304" s="189"/>
      <c r="O304" s="185"/>
      <c r="Q304" s="209"/>
      <c r="R304" s="185"/>
      <c r="U304" s="269"/>
      <c r="AA304" s="269"/>
    </row>
    <row r="305" spans="2:27" s="188" customFormat="1" x14ac:dyDescent="0.25">
      <c r="B305" s="266"/>
      <c r="E305" s="267"/>
      <c r="F305" s="267"/>
      <c r="G305" s="185"/>
      <c r="H305" s="268"/>
      <c r="I305" s="208"/>
      <c r="K305" s="185"/>
      <c r="M305" s="189"/>
      <c r="O305" s="185"/>
      <c r="Q305" s="209"/>
      <c r="R305" s="185"/>
      <c r="U305" s="269"/>
      <c r="AA305" s="269"/>
    </row>
    <row r="306" spans="2:27" s="188" customFormat="1" x14ac:dyDescent="0.25">
      <c r="B306" s="266"/>
      <c r="E306" s="267"/>
      <c r="F306" s="267"/>
      <c r="G306" s="185"/>
      <c r="H306" s="268"/>
      <c r="I306" s="208"/>
      <c r="K306" s="185"/>
      <c r="M306" s="189"/>
      <c r="O306" s="185"/>
      <c r="Q306" s="209"/>
      <c r="R306" s="185"/>
      <c r="U306" s="269"/>
      <c r="AA306" s="269"/>
    </row>
    <row r="307" spans="2:27" s="188" customFormat="1" x14ac:dyDescent="0.25">
      <c r="B307" s="266"/>
      <c r="E307" s="267"/>
      <c r="F307" s="267"/>
      <c r="G307" s="185"/>
      <c r="H307" s="268"/>
      <c r="I307" s="208"/>
      <c r="K307" s="185"/>
      <c r="M307" s="189"/>
      <c r="O307" s="185"/>
      <c r="Q307" s="209"/>
      <c r="R307" s="185"/>
      <c r="U307" s="269"/>
      <c r="AA307" s="269"/>
    </row>
    <row r="308" spans="2:27" s="188" customFormat="1" x14ac:dyDescent="0.25">
      <c r="B308" s="266"/>
      <c r="E308" s="267"/>
      <c r="F308" s="267"/>
      <c r="G308" s="185"/>
      <c r="H308" s="268"/>
      <c r="I308" s="208"/>
      <c r="K308" s="185"/>
      <c r="M308" s="189"/>
      <c r="O308" s="185"/>
      <c r="Q308" s="209"/>
      <c r="R308" s="185"/>
      <c r="U308" s="269"/>
      <c r="AA308" s="269"/>
    </row>
    <row r="309" spans="2:27" s="188" customFormat="1" x14ac:dyDescent="0.25">
      <c r="B309" s="266"/>
      <c r="E309" s="267"/>
      <c r="F309" s="267"/>
      <c r="G309" s="185"/>
      <c r="H309" s="268"/>
      <c r="I309" s="208"/>
      <c r="K309" s="185"/>
      <c r="M309" s="189"/>
      <c r="O309" s="185"/>
      <c r="Q309" s="209"/>
      <c r="R309" s="185"/>
      <c r="U309" s="269"/>
      <c r="AA309" s="269"/>
    </row>
    <row r="310" spans="2:27" s="188" customFormat="1" x14ac:dyDescent="0.25">
      <c r="B310" s="266"/>
      <c r="E310" s="267"/>
      <c r="F310" s="267"/>
      <c r="G310" s="185"/>
      <c r="H310" s="268"/>
      <c r="I310" s="208"/>
      <c r="K310" s="185"/>
      <c r="M310" s="189"/>
      <c r="O310" s="185"/>
      <c r="Q310" s="209"/>
      <c r="R310" s="185"/>
      <c r="U310" s="269"/>
      <c r="AA310" s="269"/>
    </row>
    <row r="311" spans="2:27" s="188" customFormat="1" x14ac:dyDescent="0.25">
      <c r="B311" s="266"/>
      <c r="E311" s="267"/>
      <c r="F311" s="267"/>
      <c r="G311" s="185"/>
      <c r="H311" s="268"/>
      <c r="I311" s="208"/>
      <c r="K311" s="185"/>
      <c r="M311" s="189"/>
      <c r="O311" s="185"/>
      <c r="Q311" s="209"/>
      <c r="R311" s="185"/>
      <c r="U311" s="269"/>
      <c r="AA311" s="269"/>
    </row>
    <row r="312" spans="2:27" s="188" customFormat="1" x14ac:dyDescent="0.25">
      <c r="B312" s="266"/>
      <c r="E312" s="267"/>
      <c r="F312" s="267"/>
      <c r="G312" s="185"/>
      <c r="H312" s="268"/>
      <c r="I312" s="208"/>
      <c r="K312" s="185"/>
      <c r="M312" s="189"/>
      <c r="O312" s="185"/>
      <c r="Q312" s="209"/>
      <c r="R312" s="185"/>
      <c r="U312" s="269"/>
      <c r="AA312" s="269"/>
    </row>
    <row r="313" spans="2:27" s="188" customFormat="1" x14ac:dyDescent="0.25">
      <c r="B313" s="266"/>
      <c r="E313" s="267"/>
      <c r="F313" s="267"/>
      <c r="G313" s="185"/>
      <c r="H313" s="268"/>
      <c r="I313" s="208"/>
      <c r="K313" s="185"/>
      <c r="M313" s="189"/>
      <c r="O313" s="185"/>
      <c r="Q313" s="209"/>
      <c r="R313" s="185"/>
      <c r="U313" s="269"/>
      <c r="AA313" s="269"/>
    </row>
    <row r="314" spans="2:27" s="188" customFormat="1" x14ac:dyDescent="0.25">
      <c r="B314" s="266"/>
      <c r="E314" s="267"/>
      <c r="F314" s="267"/>
      <c r="G314" s="185"/>
      <c r="H314" s="268"/>
      <c r="I314" s="208"/>
      <c r="K314" s="185"/>
      <c r="M314" s="189"/>
      <c r="O314" s="185"/>
      <c r="Q314" s="209"/>
      <c r="R314" s="185"/>
      <c r="U314" s="269"/>
      <c r="AA314" s="269"/>
    </row>
    <row r="315" spans="2:27" s="188" customFormat="1" x14ac:dyDescent="0.25">
      <c r="B315" s="266"/>
      <c r="E315" s="267"/>
      <c r="F315" s="267"/>
      <c r="G315" s="185"/>
      <c r="H315" s="268"/>
      <c r="I315" s="208"/>
      <c r="K315" s="185"/>
      <c r="M315" s="189"/>
      <c r="O315" s="185"/>
      <c r="Q315" s="209"/>
      <c r="R315" s="185"/>
      <c r="U315" s="269"/>
      <c r="AA315" s="269"/>
    </row>
    <row r="316" spans="2:27" s="188" customFormat="1" x14ac:dyDescent="0.25">
      <c r="B316" s="266"/>
      <c r="E316" s="267"/>
      <c r="F316" s="267"/>
      <c r="G316" s="185"/>
      <c r="H316" s="268"/>
      <c r="I316" s="208"/>
      <c r="K316" s="185"/>
      <c r="M316" s="189"/>
      <c r="O316" s="185"/>
      <c r="Q316" s="209"/>
      <c r="R316" s="185"/>
      <c r="U316" s="269"/>
      <c r="AA316" s="269"/>
    </row>
    <row r="317" spans="2:27" s="188" customFormat="1" x14ac:dyDescent="0.25">
      <c r="B317" s="266"/>
      <c r="E317" s="267"/>
      <c r="F317" s="267"/>
      <c r="G317" s="185"/>
      <c r="H317" s="268"/>
      <c r="I317" s="208"/>
      <c r="K317" s="185"/>
      <c r="M317" s="189"/>
      <c r="O317" s="185"/>
      <c r="Q317" s="209"/>
      <c r="R317" s="185"/>
      <c r="U317" s="269"/>
      <c r="AA317" s="269"/>
    </row>
    <row r="318" spans="2:27" s="188" customFormat="1" x14ac:dyDescent="0.25">
      <c r="B318" s="266"/>
      <c r="E318" s="267"/>
      <c r="F318" s="267"/>
      <c r="G318" s="185"/>
      <c r="H318" s="268"/>
      <c r="I318" s="208"/>
      <c r="K318" s="185"/>
      <c r="M318" s="189"/>
      <c r="O318" s="185"/>
      <c r="Q318" s="209"/>
      <c r="R318" s="185"/>
      <c r="U318" s="269"/>
      <c r="AA318" s="269"/>
    </row>
    <row r="319" spans="2:27" s="188" customFormat="1" x14ac:dyDescent="0.25">
      <c r="B319" s="266"/>
      <c r="E319" s="267"/>
      <c r="F319" s="267"/>
      <c r="G319" s="185"/>
      <c r="H319" s="268"/>
      <c r="I319" s="208"/>
      <c r="K319" s="185"/>
      <c r="M319" s="189"/>
      <c r="O319" s="185"/>
      <c r="Q319" s="209"/>
      <c r="R319" s="185"/>
      <c r="U319" s="269"/>
      <c r="AA319" s="269"/>
    </row>
    <row r="320" spans="2:27" s="188" customFormat="1" x14ac:dyDescent="0.25">
      <c r="B320" s="266"/>
      <c r="E320" s="267"/>
      <c r="F320" s="267"/>
      <c r="G320" s="185"/>
      <c r="H320" s="268"/>
      <c r="I320" s="208"/>
      <c r="K320" s="185"/>
      <c r="M320" s="189"/>
      <c r="O320" s="185"/>
      <c r="Q320" s="209"/>
      <c r="R320" s="185"/>
      <c r="U320" s="269"/>
      <c r="AA320" s="269"/>
    </row>
    <row r="321" spans="2:27" s="188" customFormat="1" x14ac:dyDescent="0.25">
      <c r="B321" s="266"/>
      <c r="E321" s="267"/>
      <c r="F321" s="267"/>
      <c r="G321" s="185"/>
      <c r="H321" s="268"/>
      <c r="I321" s="208"/>
      <c r="K321" s="185"/>
      <c r="M321" s="189"/>
      <c r="O321" s="185"/>
      <c r="Q321" s="209"/>
      <c r="R321" s="185"/>
      <c r="U321" s="269"/>
      <c r="AA321" s="269"/>
    </row>
    <row r="322" spans="2:27" s="188" customFormat="1" x14ac:dyDescent="0.25">
      <c r="B322" s="266"/>
      <c r="E322" s="267"/>
      <c r="F322" s="267"/>
      <c r="G322" s="185"/>
      <c r="H322" s="268"/>
      <c r="I322" s="208"/>
      <c r="K322" s="185"/>
      <c r="M322" s="189"/>
      <c r="O322" s="185"/>
      <c r="Q322" s="209"/>
      <c r="R322" s="185"/>
      <c r="U322" s="269"/>
      <c r="AA322" s="269"/>
    </row>
    <row r="323" spans="2:27" s="188" customFormat="1" x14ac:dyDescent="0.25">
      <c r="B323" s="266"/>
      <c r="E323" s="267"/>
      <c r="F323" s="267"/>
      <c r="G323" s="185"/>
      <c r="H323" s="268"/>
      <c r="I323" s="208"/>
      <c r="K323" s="185"/>
      <c r="M323" s="189"/>
      <c r="O323" s="185"/>
      <c r="Q323" s="209"/>
      <c r="R323" s="185"/>
      <c r="U323" s="269"/>
      <c r="AA323" s="269"/>
    </row>
    <row r="324" spans="2:27" s="188" customFormat="1" x14ac:dyDescent="0.25">
      <c r="B324" s="266"/>
      <c r="E324" s="267"/>
      <c r="F324" s="267"/>
      <c r="G324" s="185"/>
      <c r="H324" s="268"/>
      <c r="I324" s="208"/>
      <c r="K324" s="185"/>
      <c r="M324" s="189"/>
      <c r="O324" s="185"/>
      <c r="Q324" s="209"/>
      <c r="R324" s="185"/>
      <c r="U324" s="269"/>
      <c r="AA324" s="269"/>
    </row>
    <row r="325" spans="2:27" s="188" customFormat="1" x14ac:dyDescent="0.25">
      <c r="B325" s="266"/>
      <c r="E325" s="267"/>
      <c r="F325" s="267"/>
      <c r="G325" s="185"/>
      <c r="H325" s="268"/>
      <c r="I325" s="208"/>
      <c r="K325" s="185"/>
      <c r="M325" s="189"/>
      <c r="O325" s="185"/>
      <c r="Q325" s="209"/>
      <c r="R325" s="185"/>
      <c r="U325" s="269"/>
      <c r="AA325" s="269"/>
    </row>
    <row r="326" spans="2:27" s="188" customFormat="1" x14ac:dyDescent="0.25">
      <c r="B326" s="266"/>
      <c r="E326" s="267"/>
      <c r="F326" s="267"/>
      <c r="G326" s="185"/>
      <c r="H326" s="268"/>
      <c r="I326" s="208"/>
      <c r="K326" s="185"/>
      <c r="M326" s="189"/>
      <c r="O326" s="185"/>
      <c r="Q326" s="209"/>
      <c r="R326" s="185"/>
      <c r="U326" s="269"/>
      <c r="AA326" s="269"/>
    </row>
    <row r="327" spans="2:27" s="188" customFormat="1" x14ac:dyDescent="0.25">
      <c r="B327" s="266"/>
      <c r="E327" s="267"/>
      <c r="F327" s="267"/>
      <c r="G327" s="185"/>
      <c r="H327" s="268"/>
      <c r="I327" s="208"/>
      <c r="K327" s="185"/>
      <c r="M327" s="189"/>
      <c r="O327" s="185"/>
      <c r="Q327" s="209"/>
      <c r="R327" s="185"/>
      <c r="U327" s="269"/>
      <c r="AA327" s="269"/>
    </row>
    <row r="328" spans="2:27" s="188" customFormat="1" x14ac:dyDescent="0.25">
      <c r="B328" s="266"/>
      <c r="E328" s="267"/>
      <c r="F328" s="267"/>
      <c r="G328" s="185"/>
      <c r="H328" s="268"/>
      <c r="I328" s="208"/>
      <c r="K328" s="185"/>
      <c r="M328" s="189"/>
      <c r="O328" s="185"/>
      <c r="Q328" s="209"/>
      <c r="R328" s="185"/>
      <c r="U328" s="269"/>
      <c r="AA328" s="269"/>
    </row>
    <row r="329" spans="2:27" s="188" customFormat="1" x14ac:dyDescent="0.25">
      <c r="B329" s="266"/>
      <c r="E329" s="267"/>
      <c r="F329" s="267"/>
      <c r="G329" s="185"/>
      <c r="H329" s="268"/>
      <c r="I329" s="208"/>
      <c r="K329" s="185"/>
      <c r="M329" s="189"/>
      <c r="O329" s="185"/>
      <c r="Q329" s="209"/>
      <c r="R329" s="185"/>
      <c r="U329" s="269"/>
      <c r="AA329" s="269"/>
    </row>
    <row r="330" spans="2:27" s="188" customFormat="1" x14ac:dyDescent="0.25">
      <c r="B330" s="266"/>
      <c r="E330" s="267"/>
      <c r="F330" s="267"/>
      <c r="G330" s="185"/>
      <c r="H330" s="268"/>
      <c r="I330" s="208"/>
      <c r="K330" s="185"/>
      <c r="M330" s="189"/>
      <c r="O330" s="185"/>
      <c r="Q330" s="209"/>
      <c r="R330" s="185"/>
      <c r="U330" s="269"/>
      <c r="AA330" s="269"/>
    </row>
    <row r="331" spans="2:27" s="188" customFormat="1" x14ac:dyDescent="0.25">
      <c r="B331" s="266"/>
      <c r="E331" s="267"/>
      <c r="F331" s="267"/>
      <c r="G331" s="185"/>
      <c r="H331" s="268"/>
      <c r="I331" s="208"/>
      <c r="K331" s="185"/>
      <c r="M331" s="189"/>
      <c r="O331" s="185"/>
      <c r="Q331" s="209"/>
      <c r="R331" s="185"/>
      <c r="U331" s="269"/>
      <c r="AA331" s="269"/>
    </row>
    <row r="332" spans="2:27" s="188" customFormat="1" x14ac:dyDescent="0.25">
      <c r="B332" s="266"/>
      <c r="E332" s="267"/>
      <c r="F332" s="267"/>
      <c r="G332" s="185"/>
      <c r="H332" s="268"/>
      <c r="I332" s="208"/>
      <c r="K332" s="185"/>
      <c r="M332" s="189"/>
      <c r="O332" s="185"/>
      <c r="Q332" s="209"/>
      <c r="R332" s="185"/>
      <c r="U332" s="269"/>
      <c r="AA332" s="269"/>
    </row>
    <row r="333" spans="2:27" s="188" customFormat="1" x14ac:dyDescent="0.25">
      <c r="B333" s="266"/>
      <c r="E333" s="267"/>
      <c r="F333" s="267"/>
      <c r="G333" s="185"/>
      <c r="H333" s="268"/>
      <c r="I333" s="208"/>
      <c r="K333" s="185"/>
      <c r="M333" s="189"/>
      <c r="O333" s="185"/>
      <c r="Q333" s="209"/>
      <c r="R333" s="185"/>
      <c r="U333" s="269"/>
      <c r="AA333" s="269"/>
    </row>
    <row r="334" spans="2:27" s="188" customFormat="1" x14ac:dyDescent="0.25">
      <c r="B334" s="266"/>
      <c r="E334" s="267"/>
      <c r="F334" s="267"/>
      <c r="G334" s="185"/>
      <c r="H334" s="268"/>
      <c r="I334" s="208"/>
      <c r="K334" s="185"/>
      <c r="M334" s="189"/>
      <c r="O334" s="185"/>
      <c r="Q334" s="209"/>
      <c r="R334" s="185"/>
      <c r="U334" s="269"/>
      <c r="AA334" s="269"/>
    </row>
    <row r="335" spans="2:27" s="188" customFormat="1" x14ac:dyDescent="0.25">
      <c r="B335" s="266"/>
      <c r="E335" s="267"/>
      <c r="F335" s="267"/>
      <c r="G335" s="185"/>
      <c r="H335" s="268"/>
      <c r="I335" s="208"/>
      <c r="K335" s="185"/>
      <c r="M335" s="189"/>
      <c r="O335" s="185"/>
      <c r="Q335" s="209"/>
      <c r="R335" s="185"/>
      <c r="U335" s="269"/>
      <c r="AA335" s="269"/>
    </row>
    <row r="336" spans="2:27" s="188" customFormat="1" x14ac:dyDescent="0.25">
      <c r="B336" s="266"/>
      <c r="E336" s="267"/>
      <c r="F336" s="267"/>
      <c r="G336" s="185"/>
      <c r="H336" s="268"/>
      <c r="I336" s="208"/>
      <c r="K336" s="185"/>
      <c r="M336" s="189"/>
      <c r="O336" s="185"/>
      <c r="Q336" s="209"/>
      <c r="R336" s="185"/>
      <c r="U336" s="269"/>
      <c r="AA336" s="269"/>
    </row>
    <row r="337" spans="2:27" s="188" customFormat="1" x14ac:dyDescent="0.25">
      <c r="B337" s="266"/>
      <c r="E337" s="267"/>
      <c r="F337" s="267"/>
      <c r="G337" s="185"/>
      <c r="H337" s="268"/>
      <c r="I337" s="208"/>
      <c r="K337" s="185"/>
      <c r="M337" s="189"/>
      <c r="O337" s="185"/>
      <c r="Q337" s="209"/>
      <c r="R337" s="185"/>
      <c r="U337" s="269"/>
      <c r="AA337" s="269"/>
    </row>
    <row r="338" spans="2:27" s="188" customFormat="1" x14ac:dyDescent="0.25">
      <c r="B338" s="266"/>
      <c r="E338" s="267"/>
      <c r="F338" s="267"/>
      <c r="G338" s="185"/>
      <c r="H338" s="268"/>
      <c r="I338" s="208"/>
      <c r="K338" s="185"/>
      <c r="M338" s="189"/>
      <c r="O338" s="185"/>
      <c r="Q338" s="209"/>
      <c r="R338" s="185"/>
      <c r="U338" s="269"/>
      <c r="AA338" s="269"/>
    </row>
    <row r="339" spans="2:27" s="188" customFormat="1" x14ac:dyDescent="0.25">
      <c r="B339" s="266"/>
      <c r="E339" s="267"/>
      <c r="F339" s="267"/>
      <c r="G339" s="185"/>
      <c r="H339" s="268"/>
      <c r="I339" s="208"/>
      <c r="K339" s="185"/>
      <c r="M339" s="189"/>
      <c r="O339" s="185"/>
      <c r="Q339" s="209"/>
      <c r="R339" s="185"/>
      <c r="U339" s="269"/>
      <c r="AA339" s="269"/>
    </row>
    <row r="340" spans="2:27" s="188" customFormat="1" x14ac:dyDescent="0.25">
      <c r="B340" s="266"/>
      <c r="E340" s="267"/>
      <c r="F340" s="267"/>
      <c r="G340" s="185"/>
      <c r="H340" s="268"/>
      <c r="I340" s="208"/>
      <c r="K340" s="185"/>
      <c r="M340" s="189"/>
      <c r="O340" s="185"/>
      <c r="Q340" s="209"/>
      <c r="R340" s="185"/>
      <c r="U340" s="269"/>
      <c r="AA340" s="269"/>
    </row>
    <row r="341" spans="2:27" s="188" customFormat="1" x14ac:dyDescent="0.25">
      <c r="B341" s="266"/>
      <c r="E341" s="267"/>
      <c r="F341" s="267"/>
      <c r="G341" s="185"/>
      <c r="H341" s="268"/>
      <c r="I341" s="208"/>
      <c r="K341" s="185"/>
      <c r="M341" s="189"/>
      <c r="O341" s="185"/>
      <c r="Q341" s="209"/>
      <c r="R341" s="185"/>
      <c r="U341" s="269"/>
      <c r="AA341" s="269"/>
    </row>
    <row r="342" spans="2:27" s="188" customFormat="1" x14ac:dyDescent="0.25">
      <c r="B342" s="266"/>
      <c r="E342" s="267"/>
      <c r="F342" s="267"/>
      <c r="G342" s="185"/>
      <c r="H342" s="268"/>
      <c r="I342" s="208"/>
      <c r="K342" s="185"/>
      <c r="M342" s="189"/>
      <c r="O342" s="185"/>
      <c r="Q342" s="209"/>
      <c r="R342" s="185"/>
      <c r="U342" s="269"/>
      <c r="AA342" s="269"/>
    </row>
    <row r="343" spans="2:27" s="188" customFormat="1" x14ac:dyDescent="0.25">
      <c r="B343" s="266"/>
      <c r="E343" s="267"/>
      <c r="F343" s="267"/>
      <c r="G343" s="185"/>
      <c r="H343" s="268"/>
      <c r="I343" s="208"/>
      <c r="K343" s="185"/>
      <c r="M343" s="189"/>
      <c r="O343" s="185"/>
      <c r="Q343" s="209"/>
      <c r="R343" s="185"/>
      <c r="U343" s="269"/>
      <c r="AA343" s="269"/>
    </row>
    <row r="344" spans="2:27" s="188" customFormat="1" x14ac:dyDescent="0.25">
      <c r="B344" s="266"/>
      <c r="E344" s="267"/>
      <c r="F344" s="267"/>
      <c r="G344" s="185"/>
      <c r="H344" s="268"/>
      <c r="I344" s="208"/>
      <c r="K344" s="185"/>
      <c r="M344" s="189"/>
      <c r="O344" s="185"/>
      <c r="Q344" s="209"/>
      <c r="R344" s="185"/>
      <c r="U344" s="269"/>
      <c r="AA344" s="269"/>
    </row>
    <row r="345" spans="2:27" s="188" customFormat="1" x14ac:dyDescent="0.25">
      <c r="B345" s="266"/>
      <c r="E345" s="267"/>
      <c r="F345" s="267"/>
      <c r="G345" s="185"/>
      <c r="H345" s="268"/>
      <c r="I345" s="208"/>
      <c r="K345" s="185"/>
      <c r="M345" s="189"/>
      <c r="O345" s="185"/>
      <c r="Q345" s="209"/>
      <c r="R345" s="185"/>
      <c r="U345" s="269"/>
      <c r="AA345" s="269"/>
    </row>
    <row r="346" spans="2:27" s="188" customFormat="1" x14ac:dyDescent="0.25">
      <c r="B346" s="266"/>
      <c r="E346" s="267"/>
      <c r="F346" s="267"/>
      <c r="G346" s="185"/>
      <c r="H346" s="268"/>
      <c r="I346" s="208"/>
      <c r="K346" s="185"/>
      <c r="M346" s="189"/>
      <c r="O346" s="185"/>
      <c r="Q346" s="209"/>
      <c r="R346" s="185"/>
      <c r="U346" s="269"/>
      <c r="AA346" s="269"/>
    </row>
    <row r="347" spans="2:27" s="188" customFormat="1" x14ac:dyDescent="0.25">
      <c r="B347" s="266"/>
      <c r="E347" s="267"/>
      <c r="F347" s="267"/>
      <c r="G347" s="185"/>
      <c r="H347" s="268"/>
      <c r="I347" s="208"/>
      <c r="K347" s="185"/>
      <c r="M347" s="189"/>
      <c r="O347" s="185"/>
      <c r="Q347" s="209"/>
      <c r="R347" s="185"/>
      <c r="U347" s="269"/>
      <c r="AA347" s="269"/>
    </row>
    <row r="348" spans="2:27" s="188" customFormat="1" x14ac:dyDescent="0.25">
      <c r="B348" s="266"/>
      <c r="E348" s="267"/>
      <c r="F348" s="267"/>
      <c r="G348" s="185"/>
      <c r="H348" s="268"/>
      <c r="I348" s="208"/>
      <c r="K348" s="185"/>
      <c r="M348" s="189"/>
      <c r="O348" s="185"/>
      <c r="Q348" s="209"/>
      <c r="R348" s="185"/>
      <c r="U348" s="269"/>
      <c r="AA348" s="269"/>
    </row>
    <row r="349" spans="2:27" s="188" customFormat="1" x14ac:dyDescent="0.25">
      <c r="B349" s="266"/>
      <c r="E349" s="267"/>
      <c r="F349" s="267"/>
      <c r="G349" s="185"/>
      <c r="H349" s="268"/>
      <c r="I349" s="208"/>
      <c r="K349" s="185"/>
      <c r="M349" s="189"/>
      <c r="O349" s="185"/>
      <c r="Q349" s="209"/>
      <c r="R349" s="185"/>
      <c r="U349" s="269"/>
      <c r="AA349" s="269"/>
    </row>
    <row r="350" spans="2:27" s="188" customFormat="1" x14ac:dyDescent="0.25">
      <c r="B350" s="266"/>
      <c r="E350" s="267"/>
      <c r="F350" s="267"/>
      <c r="G350" s="185"/>
      <c r="H350" s="268"/>
      <c r="I350" s="208"/>
      <c r="K350" s="185"/>
      <c r="M350" s="189"/>
      <c r="O350" s="185"/>
      <c r="Q350" s="209"/>
      <c r="R350" s="185"/>
      <c r="U350" s="269"/>
      <c r="AA350" s="269"/>
    </row>
    <row r="351" spans="2:27" s="188" customFormat="1" x14ac:dyDescent="0.25">
      <c r="B351" s="266"/>
      <c r="E351" s="267"/>
      <c r="F351" s="267"/>
      <c r="G351" s="185"/>
      <c r="H351" s="268"/>
      <c r="I351" s="208"/>
      <c r="K351" s="185"/>
      <c r="M351" s="189"/>
      <c r="O351" s="185"/>
      <c r="Q351" s="209"/>
      <c r="R351" s="185"/>
      <c r="U351" s="269"/>
      <c r="AA351" s="269"/>
    </row>
    <row r="352" spans="2:27" s="188" customFormat="1" x14ac:dyDescent="0.25">
      <c r="B352" s="266"/>
      <c r="E352" s="267"/>
      <c r="F352" s="267"/>
      <c r="G352" s="185"/>
      <c r="H352" s="268"/>
      <c r="I352" s="208"/>
      <c r="K352" s="185"/>
      <c r="M352" s="189"/>
      <c r="O352" s="185"/>
      <c r="Q352" s="209"/>
      <c r="R352" s="185"/>
      <c r="U352" s="269"/>
      <c r="AA352" s="269"/>
    </row>
    <row r="353" spans="2:27" s="188" customFormat="1" x14ac:dyDescent="0.25">
      <c r="B353" s="266"/>
      <c r="E353" s="267"/>
      <c r="F353" s="267"/>
      <c r="G353" s="185"/>
      <c r="H353" s="268"/>
      <c r="I353" s="208"/>
      <c r="K353" s="185"/>
      <c r="M353" s="189"/>
      <c r="O353" s="185"/>
      <c r="Q353" s="209"/>
      <c r="R353" s="185"/>
      <c r="U353" s="269"/>
      <c r="AA353" s="269"/>
    </row>
    <row r="354" spans="2:27" s="188" customFormat="1" x14ac:dyDescent="0.25">
      <c r="B354" s="266"/>
      <c r="E354" s="267"/>
      <c r="F354" s="267"/>
      <c r="G354" s="185"/>
      <c r="H354" s="268"/>
      <c r="I354" s="208"/>
      <c r="K354" s="185"/>
      <c r="M354" s="189"/>
      <c r="O354" s="185"/>
      <c r="Q354" s="209"/>
      <c r="R354" s="185"/>
      <c r="U354" s="269"/>
      <c r="AA354" s="269"/>
    </row>
    <row r="355" spans="2:27" s="188" customFormat="1" x14ac:dyDescent="0.25">
      <c r="B355" s="266"/>
      <c r="E355" s="267"/>
      <c r="F355" s="267"/>
      <c r="G355" s="185"/>
      <c r="H355" s="268"/>
      <c r="I355" s="208"/>
      <c r="K355" s="185"/>
      <c r="M355" s="189"/>
      <c r="O355" s="185"/>
      <c r="Q355" s="209"/>
      <c r="R355" s="185"/>
      <c r="U355" s="269"/>
      <c r="AA355" s="269"/>
    </row>
    <row r="356" spans="2:27" s="188" customFormat="1" x14ac:dyDescent="0.25">
      <c r="B356" s="266"/>
      <c r="E356" s="267"/>
      <c r="F356" s="267"/>
      <c r="G356" s="185"/>
      <c r="H356" s="268"/>
      <c r="I356" s="208"/>
      <c r="K356" s="185"/>
      <c r="M356" s="189"/>
      <c r="O356" s="185"/>
      <c r="Q356" s="209"/>
      <c r="R356" s="185"/>
      <c r="U356" s="269"/>
      <c r="AA356" s="269"/>
    </row>
    <row r="357" spans="2:27" s="188" customFormat="1" x14ac:dyDescent="0.25">
      <c r="B357" s="266"/>
      <c r="E357" s="267"/>
      <c r="F357" s="267"/>
      <c r="G357" s="185"/>
      <c r="H357" s="268"/>
      <c r="I357" s="208"/>
      <c r="K357" s="185"/>
      <c r="M357" s="189"/>
      <c r="O357" s="185"/>
      <c r="Q357" s="209"/>
      <c r="R357" s="185"/>
      <c r="U357" s="269"/>
      <c r="AA357" s="269"/>
    </row>
    <row r="358" spans="2:27" s="188" customFormat="1" x14ac:dyDescent="0.25">
      <c r="B358" s="266"/>
      <c r="E358" s="267"/>
      <c r="F358" s="267"/>
      <c r="G358" s="185"/>
      <c r="H358" s="268"/>
      <c r="I358" s="208"/>
      <c r="K358" s="185"/>
      <c r="M358" s="189"/>
      <c r="O358" s="185"/>
      <c r="Q358" s="209"/>
      <c r="R358" s="185"/>
      <c r="U358" s="269"/>
      <c r="AA358" s="269"/>
    </row>
    <row r="359" spans="2:27" s="188" customFormat="1" x14ac:dyDescent="0.25">
      <c r="B359" s="266"/>
      <c r="E359" s="267"/>
      <c r="F359" s="267"/>
      <c r="G359" s="185"/>
      <c r="H359" s="268"/>
      <c r="I359" s="208"/>
      <c r="K359" s="185"/>
      <c r="M359" s="189"/>
      <c r="O359" s="185"/>
      <c r="Q359" s="209"/>
      <c r="R359" s="185"/>
      <c r="U359" s="269"/>
      <c r="AA359" s="269"/>
    </row>
    <row r="360" spans="2:27" s="188" customFormat="1" x14ac:dyDescent="0.25">
      <c r="B360" s="266"/>
      <c r="E360" s="267"/>
      <c r="F360" s="267"/>
      <c r="G360" s="185"/>
      <c r="H360" s="268"/>
      <c r="I360" s="208"/>
      <c r="K360" s="185"/>
      <c r="M360" s="189"/>
      <c r="O360" s="185"/>
      <c r="Q360" s="209"/>
      <c r="R360" s="185"/>
      <c r="U360" s="269"/>
      <c r="AA360" s="269"/>
    </row>
    <row r="361" spans="2:27" s="188" customFormat="1" x14ac:dyDescent="0.25">
      <c r="B361" s="266"/>
      <c r="E361" s="267"/>
      <c r="F361" s="267"/>
      <c r="G361" s="185"/>
      <c r="H361" s="268"/>
      <c r="I361" s="208"/>
      <c r="K361" s="185"/>
      <c r="M361" s="189"/>
      <c r="O361" s="185"/>
      <c r="Q361" s="209"/>
      <c r="R361" s="185"/>
      <c r="U361" s="269"/>
      <c r="AA361" s="269"/>
    </row>
    <row r="362" spans="2:27" s="188" customFormat="1" x14ac:dyDescent="0.25">
      <c r="B362" s="266"/>
      <c r="E362" s="267"/>
      <c r="F362" s="267"/>
      <c r="G362" s="185"/>
      <c r="H362" s="268"/>
      <c r="I362" s="208"/>
      <c r="K362" s="185"/>
      <c r="M362" s="189"/>
      <c r="O362" s="185"/>
      <c r="Q362" s="209"/>
      <c r="R362" s="185"/>
      <c r="U362" s="269"/>
      <c r="AA362" s="269"/>
    </row>
    <row r="363" spans="2:27" s="188" customFormat="1" x14ac:dyDescent="0.25">
      <c r="B363" s="266"/>
      <c r="E363" s="267"/>
      <c r="F363" s="267"/>
      <c r="G363" s="185"/>
      <c r="H363" s="268"/>
      <c r="I363" s="208"/>
      <c r="K363" s="185"/>
      <c r="M363" s="189"/>
      <c r="O363" s="185"/>
      <c r="Q363" s="209"/>
      <c r="R363" s="185"/>
      <c r="U363" s="269"/>
      <c r="AA363" s="269"/>
    </row>
    <row r="364" spans="2:27" s="188" customFormat="1" x14ac:dyDescent="0.25">
      <c r="B364" s="266"/>
      <c r="E364" s="267"/>
      <c r="F364" s="267"/>
      <c r="G364" s="185"/>
      <c r="H364" s="268"/>
      <c r="I364" s="208"/>
      <c r="K364" s="185"/>
      <c r="M364" s="189"/>
      <c r="O364" s="185"/>
      <c r="Q364" s="209"/>
      <c r="R364" s="185"/>
      <c r="U364" s="269"/>
      <c r="AA364" s="269"/>
    </row>
    <row r="365" spans="2:27" s="188" customFormat="1" x14ac:dyDescent="0.25">
      <c r="B365" s="266"/>
      <c r="E365" s="267"/>
      <c r="F365" s="267"/>
      <c r="G365" s="185"/>
      <c r="H365" s="268"/>
      <c r="I365" s="208"/>
      <c r="K365" s="185"/>
      <c r="M365" s="189"/>
      <c r="O365" s="185"/>
      <c r="Q365" s="209"/>
      <c r="R365" s="185"/>
      <c r="U365" s="269"/>
      <c r="AA365" s="269"/>
    </row>
    <row r="366" spans="2:27" s="188" customFormat="1" x14ac:dyDescent="0.25">
      <c r="B366" s="266"/>
      <c r="E366" s="267"/>
      <c r="F366" s="267"/>
      <c r="G366" s="185"/>
      <c r="H366" s="268"/>
      <c r="I366" s="208"/>
      <c r="K366" s="185"/>
      <c r="M366" s="189"/>
      <c r="O366" s="185"/>
      <c r="Q366" s="209"/>
      <c r="R366" s="185"/>
      <c r="U366" s="269"/>
      <c r="AA366" s="269"/>
    </row>
    <row r="367" spans="2:27" s="188" customFormat="1" x14ac:dyDescent="0.25">
      <c r="B367" s="266"/>
      <c r="E367" s="267"/>
      <c r="F367" s="267"/>
      <c r="G367" s="185"/>
      <c r="H367" s="268"/>
      <c r="I367" s="208"/>
      <c r="K367" s="185"/>
      <c r="M367" s="189"/>
      <c r="O367" s="185"/>
      <c r="Q367" s="209"/>
      <c r="R367" s="185"/>
      <c r="U367" s="269"/>
      <c r="AA367" s="269"/>
    </row>
    <row r="368" spans="2:27" s="188" customFormat="1" x14ac:dyDescent="0.25">
      <c r="B368" s="266"/>
      <c r="E368" s="267"/>
      <c r="F368" s="267"/>
      <c r="G368" s="185"/>
      <c r="H368" s="268"/>
      <c r="I368" s="208"/>
      <c r="K368" s="185"/>
      <c r="M368" s="189"/>
      <c r="O368" s="185"/>
      <c r="Q368" s="209"/>
      <c r="R368" s="185"/>
      <c r="U368" s="269"/>
      <c r="AA368" s="269"/>
    </row>
    <row r="369" spans="2:27" s="188" customFormat="1" x14ac:dyDescent="0.25">
      <c r="B369" s="266"/>
      <c r="E369" s="267"/>
      <c r="F369" s="267"/>
      <c r="G369" s="185"/>
      <c r="H369" s="268"/>
      <c r="I369" s="208"/>
      <c r="K369" s="185"/>
      <c r="M369" s="189"/>
      <c r="O369" s="185"/>
      <c r="Q369" s="209"/>
      <c r="R369" s="185"/>
      <c r="U369" s="269"/>
      <c r="AA369" s="269"/>
    </row>
    <row r="370" spans="2:27" s="188" customFormat="1" x14ac:dyDescent="0.25">
      <c r="B370" s="266"/>
      <c r="E370" s="267"/>
      <c r="F370" s="267"/>
      <c r="G370" s="185"/>
      <c r="H370" s="268"/>
      <c r="I370" s="208"/>
      <c r="K370" s="185"/>
      <c r="M370" s="189"/>
      <c r="O370" s="185"/>
      <c r="Q370" s="209"/>
      <c r="R370" s="185"/>
      <c r="U370" s="269"/>
      <c r="AA370" s="269"/>
    </row>
    <row r="371" spans="2:27" s="188" customFormat="1" x14ac:dyDescent="0.25">
      <c r="B371" s="266"/>
      <c r="E371" s="267"/>
      <c r="F371" s="267"/>
      <c r="G371" s="185"/>
      <c r="H371" s="268"/>
      <c r="I371" s="208"/>
      <c r="K371" s="185"/>
      <c r="M371" s="189"/>
      <c r="O371" s="185"/>
      <c r="Q371" s="209"/>
      <c r="R371" s="185"/>
      <c r="U371" s="269"/>
      <c r="AA371" s="269"/>
    </row>
    <row r="372" spans="2:27" s="188" customFormat="1" x14ac:dyDescent="0.25">
      <c r="B372" s="266"/>
      <c r="E372" s="267"/>
      <c r="F372" s="267"/>
      <c r="G372" s="185"/>
      <c r="H372" s="268"/>
      <c r="I372" s="208"/>
      <c r="K372" s="185"/>
      <c r="M372" s="189"/>
      <c r="O372" s="185"/>
      <c r="Q372" s="209"/>
      <c r="R372" s="185"/>
      <c r="U372" s="269"/>
      <c r="AA372" s="269"/>
    </row>
    <row r="373" spans="2:27" s="188" customFormat="1" x14ac:dyDescent="0.25">
      <c r="B373" s="266"/>
      <c r="E373" s="267"/>
      <c r="F373" s="267"/>
      <c r="G373" s="185"/>
      <c r="H373" s="268"/>
      <c r="I373" s="208"/>
      <c r="K373" s="185"/>
      <c r="M373" s="189"/>
      <c r="O373" s="185"/>
      <c r="Q373" s="209"/>
      <c r="R373" s="185"/>
      <c r="U373" s="269"/>
      <c r="AA373" s="269"/>
    </row>
    <row r="374" spans="2:27" s="188" customFormat="1" x14ac:dyDescent="0.25">
      <c r="B374" s="266"/>
      <c r="E374" s="267"/>
      <c r="F374" s="267"/>
      <c r="G374" s="185"/>
      <c r="H374" s="268"/>
      <c r="I374" s="208"/>
      <c r="K374" s="185"/>
      <c r="M374" s="189"/>
      <c r="O374" s="185"/>
      <c r="Q374" s="209"/>
      <c r="R374" s="185"/>
      <c r="U374" s="269"/>
      <c r="AA374" s="269"/>
    </row>
    <row r="375" spans="2:27" s="188" customFormat="1" x14ac:dyDescent="0.25">
      <c r="B375" s="266"/>
      <c r="E375" s="267"/>
      <c r="F375" s="267"/>
      <c r="G375" s="185"/>
      <c r="H375" s="268"/>
      <c r="I375" s="208"/>
      <c r="K375" s="185"/>
      <c r="M375" s="189"/>
      <c r="O375" s="185"/>
      <c r="Q375" s="209"/>
      <c r="R375" s="185"/>
      <c r="U375" s="269"/>
      <c r="AA375" s="269"/>
    </row>
    <row r="376" spans="2:27" s="188" customFormat="1" x14ac:dyDescent="0.25">
      <c r="B376" s="266"/>
      <c r="E376" s="267"/>
      <c r="F376" s="267"/>
      <c r="G376" s="185"/>
      <c r="H376" s="268"/>
      <c r="I376" s="208"/>
      <c r="K376" s="185"/>
      <c r="M376" s="189"/>
      <c r="O376" s="185"/>
      <c r="Q376" s="209"/>
      <c r="R376" s="185"/>
      <c r="U376" s="269"/>
      <c r="AA376" s="269"/>
    </row>
    <row r="377" spans="2:27" s="188" customFormat="1" x14ac:dyDescent="0.25">
      <c r="B377" s="266"/>
      <c r="E377" s="267"/>
      <c r="F377" s="267"/>
      <c r="G377" s="185"/>
      <c r="H377" s="268"/>
      <c r="I377" s="208"/>
      <c r="K377" s="185"/>
      <c r="M377" s="189"/>
      <c r="O377" s="185"/>
      <c r="Q377" s="209"/>
      <c r="R377" s="185"/>
      <c r="U377" s="269"/>
      <c r="AA377" s="269"/>
    </row>
    <row r="378" spans="2:27" s="188" customFormat="1" x14ac:dyDescent="0.25">
      <c r="B378" s="266"/>
      <c r="E378" s="267"/>
      <c r="F378" s="267"/>
      <c r="G378" s="185"/>
      <c r="H378" s="268"/>
      <c r="I378" s="208"/>
      <c r="K378" s="185"/>
      <c r="M378" s="189"/>
      <c r="O378" s="185"/>
      <c r="Q378" s="209"/>
      <c r="R378" s="185"/>
      <c r="U378" s="269"/>
      <c r="AA378" s="269"/>
    </row>
    <row r="379" spans="2:27" s="188" customFormat="1" x14ac:dyDescent="0.25">
      <c r="B379" s="266"/>
      <c r="E379" s="267"/>
      <c r="F379" s="267"/>
      <c r="G379" s="185"/>
      <c r="H379" s="268"/>
      <c r="I379" s="208"/>
      <c r="K379" s="185"/>
      <c r="M379" s="189"/>
      <c r="O379" s="185"/>
      <c r="Q379" s="209"/>
      <c r="R379" s="185"/>
      <c r="U379" s="269"/>
      <c r="AA379" s="269"/>
    </row>
    <row r="380" spans="2:27" s="188" customFormat="1" x14ac:dyDescent="0.25">
      <c r="B380" s="266"/>
      <c r="E380" s="267"/>
      <c r="F380" s="267"/>
      <c r="G380" s="185"/>
      <c r="H380" s="268"/>
      <c r="I380" s="208"/>
      <c r="K380" s="185"/>
      <c r="M380" s="189"/>
      <c r="O380" s="185"/>
      <c r="Q380" s="209"/>
      <c r="R380" s="185"/>
      <c r="U380" s="269"/>
      <c r="AA380" s="269"/>
    </row>
    <row r="381" spans="2:27" s="188" customFormat="1" x14ac:dyDescent="0.25">
      <c r="B381" s="266"/>
      <c r="E381" s="267"/>
      <c r="F381" s="267"/>
      <c r="G381" s="185"/>
      <c r="H381" s="268"/>
      <c r="I381" s="208"/>
      <c r="K381" s="185"/>
      <c r="M381" s="189"/>
      <c r="O381" s="185"/>
      <c r="Q381" s="209"/>
      <c r="R381" s="185"/>
      <c r="U381" s="269"/>
      <c r="AA381" s="269"/>
    </row>
    <row r="382" spans="2:27" s="188" customFormat="1" x14ac:dyDescent="0.25">
      <c r="B382" s="266"/>
      <c r="E382" s="267"/>
      <c r="F382" s="267"/>
      <c r="G382" s="185"/>
      <c r="H382" s="268"/>
      <c r="I382" s="208"/>
      <c r="K382" s="185"/>
      <c r="M382" s="189"/>
      <c r="O382" s="185"/>
      <c r="Q382" s="209"/>
      <c r="R382" s="185"/>
      <c r="U382" s="269"/>
      <c r="AA382" s="269"/>
    </row>
    <row r="383" spans="2:27" s="188" customFormat="1" x14ac:dyDescent="0.25">
      <c r="B383" s="266"/>
      <c r="E383" s="267"/>
      <c r="F383" s="267"/>
      <c r="G383" s="185"/>
      <c r="H383" s="268"/>
      <c r="I383" s="208"/>
      <c r="K383" s="185"/>
      <c r="M383" s="189"/>
      <c r="O383" s="185"/>
      <c r="Q383" s="209"/>
      <c r="R383" s="185"/>
      <c r="U383" s="269"/>
      <c r="AA383" s="269"/>
    </row>
    <row r="384" spans="2:27" s="188" customFormat="1" x14ac:dyDescent="0.25">
      <c r="B384" s="266"/>
      <c r="E384" s="267"/>
      <c r="F384" s="267"/>
      <c r="G384" s="185"/>
      <c r="H384" s="268"/>
      <c r="I384" s="208"/>
      <c r="K384" s="185"/>
      <c r="M384" s="189"/>
      <c r="O384" s="185"/>
      <c r="Q384" s="209"/>
      <c r="R384" s="185"/>
      <c r="U384" s="269"/>
      <c r="AA384" s="269"/>
    </row>
    <row r="385" spans="2:27" s="188" customFormat="1" x14ac:dyDescent="0.25">
      <c r="B385" s="266"/>
      <c r="E385" s="267"/>
      <c r="F385" s="267"/>
      <c r="G385" s="185"/>
      <c r="H385" s="268"/>
      <c r="I385" s="208"/>
      <c r="K385" s="185"/>
      <c r="M385" s="189"/>
      <c r="O385" s="185"/>
      <c r="Q385" s="209"/>
      <c r="R385" s="185"/>
      <c r="U385" s="269"/>
      <c r="AA385" s="269"/>
    </row>
    <row r="386" spans="2:27" s="188" customFormat="1" x14ac:dyDescent="0.25">
      <c r="B386" s="266"/>
      <c r="E386" s="267"/>
      <c r="F386" s="267"/>
      <c r="G386" s="185"/>
      <c r="H386" s="268"/>
      <c r="I386" s="208"/>
      <c r="K386" s="185"/>
      <c r="M386" s="189"/>
      <c r="O386" s="185"/>
      <c r="Q386" s="209"/>
      <c r="R386" s="185"/>
      <c r="U386" s="269"/>
      <c r="AA386" s="269"/>
    </row>
    <row r="387" spans="2:27" s="188" customFormat="1" x14ac:dyDescent="0.25">
      <c r="B387" s="266"/>
      <c r="E387" s="267"/>
      <c r="F387" s="267"/>
      <c r="G387" s="185"/>
      <c r="H387" s="268"/>
      <c r="I387" s="208"/>
      <c r="K387" s="185"/>
      <c r="M387" s="189"/>
      <c r="O387" s="185"/>
      <c r="Q387" s="209"/>
      <c r="R387" s="185"/>
      <c r="U387" s="269"/>
      <c r="AA387" s="269"/>
    </row>
    <row r="388" spans="2:27" s="188" customFormat="1" x14ac:dyDescent="0.25">
      <c r="B388" s="266"/>
      <c r="E388" s="267"/>
      <c r="F388" s="267"/>
      <c r="G388" s="185"/>
      <c r="H388" s="268"/>
      <c r="I388" s="208"/>
      <c r="K388" s="185"/>
      <c r="M388" s="189"/>
      <c r="O388" s="185"/>
      <c r="Q388" s="209"/>
      <c r="R388" s="185"/>
      <c r="U388" s="269"/>
      <c r="AA388" s="269"/>
    </row>
    <row r="389" spans="2:27" s="188" customFormat="1" x14ac:dyDescent="0.25">
      <c r="B389" s="266"/>
      <c r="E389" s="267"/>
      <c r="F389" s="267"/>
      <c r="G389" s="185"/>
      <c r="H389" s="268"/>
      <c r="I389" s="208"/>
      <c r="K389" s="185"/>
      <c r="M389" s="189"/>
      <c r="O389" s="185"/>
      <c r="Q389" s="209"/>
      <c r="R389" s="185"/>
      <c r="U389" s="269"/>
      <c r="AA389" s="269"/>
    </row>
    <row r="390" spans="2:27" s="188" customFormat="1" x14ac:dyDescent="0.25">
      <c r="B390" s="266"/>
      <c r="E390" s="267"/>
      <c r="F390" s="267"/>
      <c r="G390" s="185"/>
      <c r="H390" s="268"/>
      <c r="I390" s="208"/>
      <c r="K390" s="185"/>
      <c r="M390" s="189"/>
      <c r="O390" s="185"/>
      <c r="Q390" s="209"/>
      <c r="R390" s="185"/>
      <c r="U390" s="269"/>
      <c r="AA390" s="269"/>
    </row>
    <row r="391" spans="2:27" s="188" customFormat="1" x14ac:dyDescent="0.25">
      <c r="B391" s="266"/>
      <c r="E391" s="267"/>
      <c r="F391" s="267"/>
      <c r="G391" s="185"/>
      <c r="H391" s="268"/>
      <c r="I391" s="208"/>
      <c r="K391" s="185"/>
      <c r="M391" s="189"/>
      <c r="O391" s="185"/>
      <c r="Q391" s="209"/>
      <c r="R391" s="185"/>
      <c r="U391" s="269"/>
      <c r="AA391" s="269"/>
    </row>
    <row r="392" spans="2:27" s="188" customFormat="1" x14ac:dyDescent="0.25">
      <c r="B392" s="266"/>
      <c r="E392" s="267"/>
      <c r="F392" s="267"/>
      <c r="G392" s="185"/>
      <c r="H392" s="268"/>
      <c r="I392" s="208"/>
      <c r="K392" s="185"/>
      <c r="M392" s="189"/>
      <c r="O392" s="185"/>
      <c r="Q392" s="209"/>
      <c r="R392" s="185"/>
      <c r="U392" s="269"/>
      <c r="AA392" s="269"/>
    </row>
    <row r="393" spans="2:27" s="188" customFormat="1" x14ac:dyDescent="0.25">
      <c r="B393" s="266"/>
      <c r="E393" s="267"/>
      <c r="F393" s="267"/>
      <c r="G393" s="185"/>
      <c r="H393" s="268"/>
      <c r="I393" s="208"/>
      <c r="K393" s="185"/>
      <c r="M393" s="189"/>
      <c r="O393" s="185"/>
      <c r="Q393" s="209"/>
      <c r="R393" s="185"/>
      <c r="U393" s="269"/>
      <c r="AA393" s="269"/>
    </row>
    <row r="394" spans="2:27" s="188" customFormat="1" x14ac:dyDescent="0.25">
      <c r="B394" s="266"/>
      <c r="E394" s="267"/>
      <c r="F394" s="267"/>
      <c r="G394" s="185"/>
      <c r="H394" s="268"/>
      <c r="I394" s="208"/>
      <c r="K394" s="185"/>
      <c r="M394" s="189"/>
      <c r="O394" s="185"/>
      <c r="Q394" s="209"/>
      <c r="R394" s="185"/>
      <c r="U394" s="269"/>
      <c r="AA394" s="269"/>
    </row>
    <row r="395" spans="2:27" s="188" customFormat="1" x14ac:dyDescent="0.25">
      <c r="B395" s="266"/>
      <c r="E395" s="267"/>
      <c r="F395" s="267"/>
      <c r="G395" s="185"/>
      <c r="H395" s="268"/>
      <c r="I395" s="208"/>
      <c r="K395" s="185"/>
      <c r="M395" s="189"/>
      <c r="O395" s="185"/>
      <c r="Q395" s="209"/>
      <c r="R395" s="185"/>
      <c r="U395" s="269"/>
      <c r="AA395" s="269"/>
    </row>
    <row r="396" spans="2:27" s="188" customFormat="1" x14ac:dyDescent="0.25">
      <c r="B396" s="266"/>
      <c r="E396" s="267"/>
      <c r="F396" s="267"/>
      <c r="G396" s="185"/>
      <c r="H396" s="268"/>
      <c r="I396" s="208"/>
      <c r="K396" s="185"/>
      <c r="M396" s="189"/>
      <c r="O396" s="185"/>
      <c r="Q396" s="209"/>
      <c r="R396" s="185"/>
      <c r="U396" s="269"/>
      <c r="AA396" s="269"/>
    </row>
    <row r="397" spans="2:27" s="188" customFormat="1" x14ac:dyDescent="0.25">
      <c r="B397" s="266"/>
      <c r="E397" s="267"/>
      <c r="F397" s="267"/>
      <c r="G397" s="185"/>
      <c r="H397" s="268"/>
      <c r="I397" s="208"/>
      <c r="K397" s="185"/>
      <c r="M397" s="189"/>
      <c r="O397" s="185"/>
      <c r="Q397" s="209"/>
      <c r="R397" s="185"/>
      <c r="U397" s="269"/>
      <c r="AA397" s="269"/>
    </row>
    <row r="398" spans="2:27" s="188" customFormat="1" x14ac:dyDescent="0.25">
      <c r="B398" s="266"/>
      <c r="E398" s="267"/>
      <c r="F398" s="267"/>
      <c r="G398" s="185"/>
      <c r="H398" s="268"/>
      <c r="I398" s="208"/>
      <c r="K398" s="185"/>
      <c r="M398" s="189"/>
      <c r="O398" s="185"/>
      <c r="Q398" s="209"/>
      <c r="R398" s="185"/>
      <c r="U398" s="269"/>
      <c r="AA398" s="269"/>
    </row>
    <row r="399" spans="2:27" s="188" customFormat="1" x14ac:dyDescent="0.25">
      <c r="B399" s="266"/>
      <c r="E399" s="267"/>
      <c r="F399" s="267"/>
      <c r="G399" s="185"/>
      <c r="H399" s="268"/>
      <c r="I399" s="208"/>
      <c r="K399" s="185"/>
      <c r="M399" s="189"/>
      <c r="O399" s="185"/>
      <c r="Q399" s="209"/>
      <c r="R399" s="185"/>
      <c r="U399" s="269"/>
      <c r="AA399" s="269"/>
    </row>
    <row r="400" spans="2:27" s="188" customFormat="1" x14ac:dyDescent="0.25">
      <c r="B400" s="266"/>
      <c r="E400" s="267"/>
      <c r="F400" s="267"/>
      <c r="G400" s="185"/>
      <c r="H400" s="268"/>
      <c r="I400" s="208"/>
      <c r="K400" s="185"/>
      <c r="M400" s="189"/>
      <c r="O400" s="185"/>
      <c r="Q400" s="209"/>
      <c r="R400" s="185"/>
      <c r="U400" s="269"/>
      <c r="AA400" s="269"/>
    </row>
    <row r="401" spans="2:27" s="188" customFormat="1" x14ac:dyDescent="0.25">
      <c r="B401" s="266"/>
      <c r="E401" s="267"/>
      <c r="F401" s="267"/>
      <c r="G401" s="185"/>
      <c r="H401" s="268"/>
      <c r="I401" s="208"/>
      <c r="K401" s="185"/>
      <c r="M401" s="189"/>
      <c r="O401" s="185"/>
      <c r="Q401" s="209"/>
      <c r="R401" s="185"/>
      <c r="U401" s="269"/>
      <c r="AA401" s="269"/>
    </row>
    <row r="402" spans="2:27" s="188" customFormat="1" x14ac:dyDescent="0.25">
      <c r="B402" s="266"/>
      <c r="E402" s="267"/>
      <c r="F402" s="267"/>
      <c r="G402" s="185"/>
      <c r="H402" s="268"/>
      <c r="I402" s="208"/>
      <c r="K402" s="185"/>
      <c r="M402" s="189"/>
      <c r="O402" s="185"/>
      <c r="Q402" s="209"/>
      <c r="R402" s="185"/>
      <c r="U402" s="269"/>
      <c r="AA402" s="269"/>
    </row>
    <row r="403" spans="2:27" s="188" customFormat="1" x14ac:dyDescent="0.25">
      <c r="B403" s="266"/>
      <c r="E403" s="267"/>
      <c r="F403" s="267"/>
      <c r="G403" s="185"/>
      <c r="H403" s="268"/>
      <c r="I403" s="208"/>
      <c r="K403" s="185"/>
      <c r="M403" s="189"/>
      <c r="O403" s="185"/>
      <c r="Q403" s="209"/>
      <c r="R403" s="185"/>
      <c r="U403" s="269"/>
      <c r="AA403" s="269"/>
    </row>
    <row r="404" spans="2:27" s="188" customFormat="1" x14ac:dyDescent="0.25">
      <c r="B404" s="266"/>
      <c r="E404" s="267"/>
      <c r="F404" s="267"/>
      <c r="G404" s="185"/>
      <c r="H404" s="268"/>
      <c r="I404" s="208"/>
      <c r="K404" s="185"/>
      <c r="M404" s="189"/>
      <c r="O404" s="185"/>
      <c r="Q404" s="209"/>
      <c r="R404" s="185"/>
      <c r="U404" s="269"/>
      <c r="AA404" s="269"/>
    </row>
    <row r="405" spans="2:27" s="188" customFormat="1" x14ac:dyDescent="0.25">
      <c r="B405" s="266"/>
      <c r="E405" s="267"/>
      <c r="F405" s="267"/>
      <c r="G405" s="185"/>
      <c r="H405" s="268"/>
      <c r="I405" s="208"/>
      <c r="K405" s="185"/>
      <c r="M405" s="189"/>
      <c r="O405" s="185"/>
      <c r="Q405" s="209"/>
      <c r="R405" s="185"/>
      <c r="U405" s="269"/>
      <c r="AA405" s="269"/>
    </row>
    <row r="406" spans="2:27" s="188" customFormat="1" x14ac:dyDescent="0.25">
      <c r="B406" s="266"/>
      <c r="E406" s="267"/>
      <c r="F406" s="267"/>
      <c r="G406" s="185"/>
      <c r="H406" s="268"/>
      <c r="I406" s="208"/>
      <c r="K406" s="185"/>
      <c r="M406" s="189"/>
      <c r="O406" s="185"/>
      <c r="Q406" s="209"/>
      <c r="R406" s="185"/>
      <c r="U406" s="269"/>
      <c r="AA406" s="269"/>
    </row>
    <row r="407" spans="2:27" s="188" customFormat="1" x14ac:dyDescent="0.25">
      <c r="B407" s="266"/>
      <c r="E407" s="267"/>
      <c r="F407" s="267"/>
      <c r="G407" s="185"/>
      <c r="H407" s="268"/>
      <c r="I407" s="208"/>
      <c r="K407" s="185"/>
      <c r="M407" s="189"/>
      <c r="O407" s="185"/>
      <c r="Q407" s="209"/>
      <c r="R407" s="185"/>
      <c r="U407" s="269"/>
      <c r="AA407" s="269"/>
    </row>
    <row r="408" spans="2:27" s="188" customFormat="1" x14ac:dyDescent="0.25">
      <c r="B408" s="266"/>
      <c r="E408" s="267"/>
      <c r="F408" s="267"/>
      <c r="G408" s="185"/>
      <c r="H408" s="268"/>
      <c r="I408" s="208"/>
      <c r="K408" s="185"/>
      <c r="M408" s="189"/>
      <c r="O408" s="185"/>
      <c r="Q408" s="209"/>
      <c r="R408" s="185"/>
      <c r="U408" s="269"/>
      <c r="AA408" s="269"/>
    </row>
    <row r="409" spans="2:27" s="188" customFormat="1" x14ac:dyDescent="0.25">
      <c r="B409" s="266"/>
      <c r="E409" s="267"/>
      <c r="F409" s="267"/>
      <c r="G409" s="185"/>
      <c r="H409" s="268"/>
      <c r="I409" s="208"/>
      <c r="K409" s="185"/>
      <c r="M409" s="189"/>
      <c r="O409" s="185"/>
      <c r="Q409" s="209"/>
      <c r="R409" s="185"/>
      <c r="U409" s="269"/>
      <c r="AA409" s="269"/>
    </row>
    <row r="410" spans="2:27" s="188" customFormat="1" x14ac:dyDescent="0.25">
      <c r="B410" s="266"/>
      <c r="E410" s="267"/>
      <c r="F410" s="267"/>
      <c r="G410" s="185"/>
      <c r="H410" s="268"/>
      <c r="I410" s="208"/>
      <c r="K410" s="185"/>
      <c r="M410" s="189"/>
      <c r="O410" s="185"/>
      <c r="Q410" s="209"/>
      <c r="R410" s="185"/>
      <c r="U410" s="269"/>
      <c r="AA410" s="269"/>
    </row>
    <row r="411" spans="2:27" s="188" customFormat="1" x14ac:dyDescent="0.25">
      <c r="B411" s="266"/>
      <c r="E411" s="267"/>
      <c r="F411" s="267"/>
      <c r="G411" s="185"/>
      <c r="H411" s="268"/>
      <c r="I411" s="208"/>
      <c r="K411" s="185"/>
      <c r="M411" s="189"/>
      <c r="O411" s="185"/>
      <c r="Q411" s="209"/>
      <c r="R411" s="185"/>
      <c r="U411" s="269"/>
      <c r="AA411" s="269"/>
    </row>
    <row r="412" spans="2:27" s="188" customFormat="1" x14ac:dyDescent="0.25">
      <c r="B412" s="266"/>
      <c r="E412" s="267"/>
      <c r="F412" s="267"/>
      <c r="G412" s="185"/>
      <c r="H412" s="268"/>
      <c r="I412" s="208"/>
      <c r="K412" s="185"/>
      <c r="M412" s="189"/>
      <c r="O412" s="185"/>
      <c r="Q412" s="209"/>
      <c r="R412" s="185"/>
      <c r="U412" s="269"/>
      <c r="AA412" s="269"/>
    </row>
    <row r="413" spans="2:27" s="188" customFormat="1" x14ac:dyDescent="0.25">
      <c r="B413" s="266"/>
      <c r="E413" s="267"/>
      <c r="F413" s="267"/>
      <c r="G413" s="185"/>
      <c r="H413" s="268"/>
      <c r="I413" s="208"/>
      <c r="K413" s="185"/>
      <c r="M413" s="189"/>
      <c r="O413" s="185"/>
      <c r="Q413" s="209"/>
      <c r="R413" s="185"/>
      <c r="U413" s="269"/>
      <c r="AA413" s="269"/>
    </row>
    <row r="414" spans="2:27" s="188" customFormat="1" x14ac:dyDescent="0.25">
      <c r="B414" s="266"/>
      <c r="E414" s="267"/>
      <c r="F414" s="267"/>
      <c r="G414" s="185"/>
      <c r="H414" s="268"/>
      <c r="I414" s="208"/>
      <c r="K414" s="185"/>
      <c r="M414" s="189"/>
      <c r="O414" s="185"/>
      <c r="Q414" s="209"/>
      <c r="R414" s="185"/>
      <c r="U414" s="269"/>
      <c r="AA414" s="269"/>
    </row>
    <row r="415" spans="2:27" s="188" customFormat="1" x14ac:dyDescent="0.25">
      <c r="B415" s="266"/>
      <c r="E415" s="267"/>
      <c r="F415" s="267"/>
      <c r="G415" s="185"/>
      <c r="H415" s="268"/>
      <c r="I415" s="208"/>
      <c r="K415" s="185"/>
      <c r="M415" s="189"/>
      <c r="O415" s="185"/>
      <c r="Q415" s="209"/>
      <c r="R415" s="185"/>
      <c r="U415" s="269"/>
      <c r="AA415" s="269"/>
    </row>
    <row r="416" spans="2:27" s="188" customFormat="1" x14ac:dyDescent="0.25">
      <c r="B416" s="266"/>
      <c r="E416" s="267"/>
      <c r="F416" s="267"/>
      <c r="G416" s="185"/>
      <c r="H416" s="268"/>
      <c r="I416" s="208"/>
      <c r="K416" s="185"/>
      <c r="M416" s="189"/>
      <c r="O416" s="185"/>
      <c r="Q416" s="209"/>
      <c r="R416" s="185"/>
      <c r="U416" s="269"/>
      <c r="AA416" s="269"/>
    </row>
    <row r="417" spans="2:27" s="188" customFormat="1" x14ac:dyDescent="0.25">
      <c r="B417" s="266"/>
      <c r="E417" s="267"/>
      <c r="F417" s="267"/>
      <c r="G417" s="185"/>
      <c r="H417" s="268"/>
      <c r="I417" s="208"/>
      <c r="K417" s="185"/>
      <c r="M417" s="189"/>
      <c r="O417" s="185"/>
      <c r="Q417" s="209"/>
      <c r="R417" s="185"/>
      <c r="U417" s="269"/>
      <c r="AA417" s="269"/>
    </row>
    <row r="418" spans="2:27" s="188" customFormat="1" x14ac:dyDescent="0.25">
      <c r="B418" s="266"/>
      <c r="E418" s="267"/>
      <c r="F418" s="267"/>
      <c r="G418" s="185"/>
      <c r="H418" s="268"/>
      <c r="I418" s="208"/>
      <c r="K418" s="185"/>
      <c r="M418" s="189"/>
      <c r="O418" s="185"/>
      <c r="Q418" s="209"/>
      <c r="R418" s="185"/>
      <c r="U418" s="269"/>
      <c r="AA418" s="269"/>
    </row>
    <row r="419" spans="2:27" s="188" customFormat="1" x14ac:dyDescent="0.25">
      <c r="B419" s="266"/>
      <c r="E419" s="267"/>
      <c r="F419" s="267"/>
      <c r="G419" s="185"/>
      <c r="H419" s="268"/>
      <c r="I419" s="208"/>
      <c r="K419" s="185"/>
      <c r="M419" s="189"/>
      <c r="O419" s="185"/>
      <c r="Q419" s="209"/>
      <c r="R419" s="185"/>
      <c r="U419" s="269"/>
      <c r="AA419" s="269"/>
    </row>
    <row r="420" spans="2:27" s="188" customFormat="1" x14ac:dyDescent="0.25">
      <c r="B420" s="266"/>
      <c r="E420" s="267"/>
      <c r="F420" s="267"/>
      <c r="G420" s="185"/>
      <c r="H420" s="268"/>
      <c r="I420" s="208"/>
      <c r="K420" s="185"/>
      <c r="M420" s="189"/>
      <c r="O420" s="185"/>
      <c r="Q420" s="209"/>
      <c r="R420" s="185"/>
      <c r="U420" s="269"/>
      <c r="AA420" s="269"/>
    </row>
    <row r="421" spans="2:27" s="188" customFormat="1" x14ac:dyDescent="0.25">
      <c r="B421" s="266"/>
      <c r="E421" s="267"/>
      <c r="F421" s="267"/>
      <c r="G421" s="185"/>
      <c r="H421" s="268"/>
      <c r="I421" s="208"/>
      <c r="K421" s="185"/>
      <c r="M421" s="189"/>
      <c r="O421" s="185"/>
      <c r="Q421" s="209"/>
      <c r="R421" s="185"/>
      <c r="U421" s="269"/>
      <c r="AA421" s="269"/>
    </row>
    <row r="422" spans="2:27" s="188" customFormat="1" x14ac:dyDescent="0.25">
      <c r="B422" s="266"/>
      <c r="E422" s="267"/>
      <c r="F422" s="267"/>
      <c r="G422" s="185"/>
      <c r="H422" s="268"/>
      <c r="I422" s="208"/>
      <c r="K422" s="185"/>
      <c r="M422" s="189"/>
      <c r="O422" s="185"/>
      <c r="Q422" s="209"/>
      <c r="R422" s="185"/>
      <c r="U422" s="269"/>
      <c r="AA422" s="269"/>
    </row>
    <row r="423" spans="2:27" s="188" customFormat="1" x14ac:dyDescent="0.25">
      <c r="B423" s="266"/>
      <c r="E423" s="267"/>
      <c r="F423" s="267"/>
      <c r="G423" s="185"/>
      <c r="H423" s="268"/>
      <c r="I423" s="208"/>
      <c r="K423" s="185"/>
      <c r="M423" s="189"/>
      <c r="O423" s="185"/>
      <c r="Q423" s="209"/>
      <c r="R423" s="185"/>
      <c r="U423" s="269"/>
      <c r="AA423" s="269"/>
    </row>
    <row r="424" spans="2:27" s="188" customFormat="1" x14ac:dyDescent="0.25">
      <c r="B424" s="266"/>
      <c r="E424" s="267"/>
      <c r="F424" s="267"/>
      <c r="G424" s="185"/>
      <c r="H424" s="268"/>
      <c r="I424" s="208"/>
      <c r="K424" s="185"/>
      <c r="M424" s="189"/>
      <c r="O424" s="185"/>
      <c r="Q424" s="209"/>
      <c r="R424" s="185"/>
      <c r="U424" s="269"/>
      <c r="AA424" s="269"/>
    </row>
    <row r="425" spans="2:27" s="188" customFormat="1" x14ac:dyDescent="0.25">
      <c r="B425" s="266"/>
      <c r="E425" s="267"/>
      <c r="F425" s="267"/>
      <c r="G425" s="185"/>
      <c r="H425" s="268"/>
      <c r="I425" s="208"/>
      <c r="K425" s="185"/>
      <c r="M425" s="189"/>
      <c r="O425" s="185"/>
      <c r="Q425" s="209"/>
      <c r="R425" s="185"/>
      <c r="U425" s="269"/>
      <c r="AA425" s="269"/>
    </row>
    <row r="426" spans="2:27" s="188" customFormat="1" x14ac:dyDescent="0.25">
      <c r="B426" s="266"/>
      <c r="E426" s="267"/>
      <c r="F426" s="267"/>
      <c r="G426" s="185"/>
      <c r="H426" s="268"/>
      <c r="I426" s="208"/>
      <c r="K426" s="185"/>
      <c r="M426" s="189"/>
      <c r="O426" s="185"/>
      <c r="Q426" s="209"/>
      <c r="R426" s="185"/>
      <c r="U426" s="269"/>
      <c r="AA426" s="269"/>
    </row>
    <row r="427" spans="2:27" s="188" customFormat="1" x14ac:dyDescent="0.25">
      <c r="B427" s="266"/>
      <c r="E427" s="267"/>
      <c r="F427" s="267"/>
      <c r="G427" s="185"/>
      <c r="H427" s="268"/>
      <c r="I427" s="208"/>
      <c r="K427" s="185"/>
      <c r="M427" s="189"/>
      <c r="O427" s="185"/>
      <c r="Q427" s="209"/>
      <c r="R427" s="185"/>
      <c r="U427" s="269"/>
      <c r="AA427" s="269"/>
    </row>
    <row r="428" spans="2:27" s="188" customFormat="1" x14ac:dyDescent="0.25">
      <c r="B428" s="266"/>
      <c r="E428" s="267"/>
      <c r="F428" s="267"/>
      <c r="G428" s="185"/>
      <c r="H428" s="268"/>
      <c r="I428" s="208"/>
      <c r="K428" s="185"/>
      <c r="M428" s="189"/>
      <c r="O428" s="185"/>
      <c r="Q428" s="209"/>
      <c r="R428" s="185"/>
      <c r="U428" s="269"/>
      <c r="AA428" s="269"/>
    </row>
    <row r="429" spans="2:27" s="188" customFormat="1" x14ac:dyDescent="0.25">
      <c r="B429" s="266"/>
      <c r="E429" s="267"/>
      <c r="F429" s="267"/>
      <c r="G429" s="185"/>
      <c r="H429" s="268"/>
      <c r="I429" s="208"/>
      <c r="K429" s="185"/>
      <c r="M429" s="189"/>
      <c r="O429" s="185"/>
      <c r="Q429" s="209"/>
      <c r="R429" s="185"/>
      <c r="U429" s="269"/>
      <c r="AA429" s="269"/>
    </row>
    <row r="430" spans="2:27" s="188" customFormat="1" x14ac:dyDescent="0.25">
      <c r="B430" s="266"/>
      <c r="E430" s="267"/>
      <c r="F430" s="267"/>
      <c r="G430" s="185"/>
      <c r="H430" s="268"/>
      <c r="I430" s="208"/>
      <c r="K430" s="185"/>
      <c r="M430" s="189"/>
      <c r="O430" s="185"/>
      <c r="Q430" s="209"/>
      <c r="R430" s="185"/>
      <c r="U430" s="269"/>
      <c r="AA430" s="269"/>
    </row>
    <row r="431" spans="2:27" s="188" customFormat="1" x14ac:dyDescent="0.25">
      <c r="B431" s="266"/>
      <c r="E431" s="267"/>
      <c r="F431" s="267"/>
      <c r="G431" s="185"/>
      <c r="H431" s="268"/>
      <c r="I431" s="208"/>
      <c r="K431" s="185"/>
      <c r="M431" s="189"/>
      <c r="O431" s="185"/>
      <c r="Q431" s="209"/>
      <c r="R431" s="185"/>
      <c r="U431" s="269"/>
      <c r="AA431" s="269"/>
    </row>
    <row r="432" spans="2:27" s="188" customFormat="1" x14ac:dyDescent="0.25">
      <c r="B432" s="266"/>
      <c r="E432" s="267"/>
      <c r="F432" s="267"/>
      <c r="G432" s="185"/>
      <c r="H432" s="268"/>
      <c r="I432" s="208"/>
      <c r="K432" s="185"/>
      <c r="M432" s="189"/>
      <c r="O432" s="185"/>
      <c r="Q432" s="209"/>
      <c r="R432" s="185"/>
      <c r="U432" s="269"/>
      <c r="AA432" s="269"/>
    </row>
    <row r="433" spans="2:27" s="188" customFormat="1" x14ac:dyDescent="0.25">
      <c r="B433" s="266"/>
      <c r="E433" s="267"/>
      <c r="F433" s="267"/>
      <c r="G433" s="185"/>
      <c r="H433" s="268"/>
      <c r="I433" s="208"/>
      <c r="K433" s="185"/>
      <c r="M433" s="189"/>
      <c r="O433" s="185"/>
      <c r="Q433" s="209"/>
      <c r="R433" s="185"/>
      <c r="U433" s="269"/>
      <c r="AA433" s="269"/>
    </row>
    <row r="434" spans="2:27" s="188" customFormat="1" x14ac:dyDescent="0.25">
      <c r="B434" s="266"/>
      <c r="E434" s="267"/>
      <c r="F434" s="267"/>
      <c r="G434" s="185"/>
      <c r="H434" s="268"/>
      <c r="I434" s="208"/>
      <c r="K434" s="185"/>
      <c r="M434" s="189"/>
      <c r="O434" s="185"/>
      <c r="Q434" s="209"/>
      <c r="R434" s="185"/>
      <c r="U434" s="269"/>
      <c r="AA434" s="269"/>
    </row>
    <row r="435" spans="2:27" s="188" customFormat="1" x14ac:dyDescent="0.25">
      <c r="B435" s="266"/>
      <c r="E435" s="267"/>
      <c r="F435" s="267"/>
      <c r="G435" s="185"/>
      <c r="H435" s="268"/>
      <c r="I435" s="208"/>
      <c r="K435" s="185"/>
      <c r="M435" s="189"/>
      <c r="O435" s="185"/>
      <c r="Q435" s="209"/>
      <c r="R435" s="185"/>
      <c r="U435" s="269"/>
      <c r="AA435" s="269"/>
    </row>
    <row r="436" spans="2:27" s="188" customFormat="1" x14ac:dyDescent="0.25">
      <c r="B436" s="266"/>
      <c r="E436" s="267"/>
      <c r="F436" s="267"/>
      <c r="G436" s="185"/>
      <c r="H436" s="268"/>
      <c r="I436" s="208"/>
      <c r="K436" s="185"/>
      <c r="M436" s="189"/>
      <c r="O436" s="185"/>
      <c r="Q436" s="209"/>
      <c r="R436" s="185"/>
      <c r="U436" s="269"/>
      <c r="AA436" s="269"/>
    </row>
    <row r="437" spans="2:27" s="188" customFormat="1" x14ac:dyDescent="0.25">
      <c r="B437" s="266"/>
      <c r="E437" s="267"/>
      <c r="F437" s="267"/>
      <c r="G437" s="185"/>
      <c r="H437" s="268"/>
      <c r="I437" s="208"/>
      <c r="K437" s="185"/>
      <c r="M437" s="189"/>
      <c r="O437" s="185"/>
      <c r="Q437" s="209"/>
      <c r="R437" s="185"/>
      <c r="U437" s="269"/>
      <c r="AA437" s="269"/>
    </row>
    <row r="438" spans="2:27" s="188" customFormat="1" x14ac:dyDescent="0.25">
      <c r="B438" s="266"/>
      <c r="E438" s="267"/>
      <c r="F438" s="267"/>
      <c r="G438" s="185"/>
      <c r="H438" s="268"/>
      <c r="I438" s="208"/>
      <c r="K438" s="185"/>
      <c r="M438" s="189"/>
      <c r="O438" s="185"/>
      <c r="Q438" s="209"/>
      <c r="R438" s="185"/>
      <c r="U438" s="269"/>
      <c r="AA438" s="269"/>
    </row>
    <row r="439" spans="2:27" s="188" customFormat="1" x14ac:dyDescent="0.25">
      <c r="B439" s="266"/>
      <c r="E439" s="267"/>
      <c r="F439" s="267"/>
      <c r="G439" s="185"/>
      <c r="H439" s="268"/>
      <c r="I439" s="208"/>
      <c r="K439" s="185"/>
      <c r="M439" s="189"/>
      <c r="O439" s="185"/>
      <c r="Q439" s="209"/>
      <c r="R439" s="185"/>
      <c r="U439" s="269"/>
      <c r="AA439" s="269"/>
    </row>
    <row r="440" spans="2:27" s="188" customFormat="1" x14ac:dyDescent="0.25">
      <c r="B440" s="266"/>
      <c r="E440" s="267"/>
      <c r="F440" s="267"/>
      <c r="G440" s="185"/>
      <c r="H440" s="268"/>
      <c r="I440" s="208"/>
      <c r="K440" s="185"/>
      <c r="M440" s="189"/>
      <c r="O440" s="185"/>
      <c r="Q440" s="209"/>
      <c r="R440" s="185"/>
      <c r="U440" s="269"/>
      <c r="AA440" s="269"/>
    </row>
    <row r="441" spans="2:27" s="188" customFormat="1" x14ac:dyDescent="0.25">
      <c r="B441" s="266"/>
      <c r="E441" s="267"/>
      <c r="F441" s="267"/>
      <c r="G441" s="185"/>
      <c r="H441" s="268"/>
      <c r="I441" s="208"/>
      <c r="K441" s="185"/>
      <c r="M441" s="189"/>
      <c r="O441" s="185"/>
      <c r="Q441" s="209"/>
      <c r="R441" s="185"/>
      <c r="U441" s="269"/>
      <c r="AA441" s="269"/>
    </row>
    <row r="442" spans="2:27" s="188" customFormat="1" x14ac:dyDescent="0.25">
      <c r="B442" s="266"/>
      <c r="E442" s="267"/>
      <c r="F442" s="267"/>
      <c r="G442" s="185"/>
      <c r="H442" s="268"/>
      <c r="I442" s="208"/>
      <c r="K442" s="185"/>
      <c r="M442" s="189"/>
      <c r="O442" s="185"/>
      <c r="Q442" s="209"/>
      <c r="R442" s="185"/>
      <c r="U442" s="269"/>
      <c r="AA442" s="269"/>
    </row>
    <row r="443" spans="2:27" s="188" customFormat="1" x14ac:dyDescent="0.25">
      <c r="B443" s="266"/>
      <c r="E443" s="267"/>
      <c r="F443" s="267"/>
      <c r="G443" s="185"/>
      <c r="H443" s="268"/>
      <c r="I443" s="208"/>
      <c r="K443" s="185"/>
      <c r="M443" s="189"/>
      <c r="O443" s="185"/>
      <c r="Q443" s="209"/>
      <c r="R443" s="185"/>
      <c r="U443" s="269"/>
      <c r="AA443" s="269"/>
    </row>
    <row r="444" spans="2:27" s="188" customFormat="1" x14ac:dyDescent="0.25">
      <c r="B444" s="266"/>
      <c r="E444" s="267"/>
      <c r="F444" s="267"/>
      <c r="G444" s="185"/>
      <c r="H444" s="268"/>
      <c r="I444" s="208"/>
      <c r="K444" s="185"/>
      <c r="M444" s="189"/>
      <c r="O444" s="185"/>
      <c r="Q444" s="209"/>
      <c r="R444" s="185"/>
      <c r="U444" s="269"/>
      <c r="AA444" s="269"/>
    </row>
    <row r="445" spans="2:27" s="188" customFormat="1" x14ac:dyDescent="0.25">
      <c r="B445" s="266"/>
      <c r="E445" s="267"/>
      <c r="F445" s="267"/>
      <c r="G445" s="185"/>
      <c r="H445" s="268"/>
      <c r="I445" s="208"/>
      <c r="K445" s="185"/>
      <c r="M445" s="189"/>
      <c r="O445" s="185"/>
      <c r="Q445" s="209"/>
      <c r="R445" s="185"/>
      <c r="U445" s="269"/>
      <c r="AA445" s="269"/>
    </row>
    <row r="446" spans="2:27" s="188" customFormat="1" x14ac:dyDescent="0.25">
      <c r="B446" s="266"/>
      <c r="E446" s="267"/>
      <c r="F446" s="267"/>
      <c r="G446" s="185"/>
      <c r="H446" s="268"/>
      <c r="I446" s="208"/>
      <c r="K446" s="185"/>
      <c r="M446" s="189"/>
      <c r="O446" s="185"/>
      <c r="Q446" s="209"/>
      <c r="R446" s="185"/>
      <c r="U446" s="269"/>
      <c r="AA446" s="269"/>
    </row>
    <row r="447" spans="2:27" s="188" customFormat="1" x14ac:dyDescent="0.25">
      <c r="B447" s="266"/>
      <c r="E447" s="267"/>
      <c r="F447" s="267"/>
      <c r="G447" s="185"/>
      <c r="H447" s="268"/>
      <c r="I447" s="208"/>
      <c r="K447" s="185"/>
      <c r="M447" s="189"/>
      <c r="O447" s="185"/>
      <c r="Q447" s="209"/>
      <c r="R447" s="185"/>
      <c r="U447" s="269"/>
      <c r="AA447" s="269"/>
    </row>
    <row r="448" spans="2:27" s="188" customFormat="1" x14ac:dyDescent="0.25">
      <c r="B448" s="266"/>
      <c r="E448" s="267"/>
      <c r="F448" s="267"/>
      <c r="G448" s="185"/>
      <c r="H448" s="268"/>
      <c r="I448" s="208"/>
      <c r="K448" s="185"/>
      <c r="M448" s="189"/>
      <c r="O448" s="185"/>
      <c r="Q448" s="209"/>
      <c r="R448" s="185"/>
      <c r="U448" s="269"/>
      <c r="AA448" s="269"/>
    </row>
    <row r="449" spans="2:27" s="188" customFormat="1" x14ac:dyDescent="0.25">
      <c r="B449" s="266"/>
      <c r="E449" s="267"/>
      <c r="F449" s="267"/>
      <c r="G449" s="185"/>
      <c r="H449" s="268"/>
      <c r="I449" s="208"/>
      <c r="K449" s="185"/>
      <c r="M449" s="189"/>
      <c r="O449" s="185"/>
      <c r="Q449" s="209"/>
      <c r="R449" s="185"/>
      <c r="U449" s="269"/>
      <c r="AA449" s="269"/>
    </row>
    <row r="450" spans="2:27" s="188" customFormat="1" x14ac:dyDescent="0.25">
      <c r="B450" s="266"/>
      <c r="E450" s="267"/>
      <c r="F450" s="267"/>
      <c r="G450" s="185"/>
      <c r="H450" s="268"/>
      <c r="I450" s="208"/>
      <c r="K450" s="185"/>
      <c r="M450" s="189"/>
      <c r="O450" s="185"/>
      <c r="Q450" s="209"/>
      <c r="R450" s="185"/>
      <c r="U450" s="269"/>
      <c r="AA450" s="269"/>
    </row>
    <row r="451" spans="2:27" s="188" customFormat="1" x14ac:dyDescent="0.25">
      <c r="B451" s="266"/>
      <c r="E451" s="267"/>
      <c r="F451" s="267"/>
      <c r="G451" s="185"/>
      <c r="H451" s="268"/>
      <c r="I451" s="208"/>
      <c r="K451" s="185"/>
      <c r="M451" s="189"/>
      <c r="O451" s="185"/>
      <c r="Q451" s="209"/>
      <c r="R451" s="185"/>
      <c r="U451" s="269"/>
      <c r="AA451" s="269"/>
    </row>
    <row r="452" spans="2:27" s="188" customFormat="1" x14ac:dyDescent="0.25">
      <c r="B452" s="266"/>
      <c r="E452" s="267"/>
      <c r="F452" s="267"/>
      <c r="G452" s="185"/>
      <c r="H452" s="268"/>
      <c r="I452" s="208"/>
      <c r="K452" s="185"/>
      <c r="M452" s="189"/>
      <c r="O452" s="185"/>
      <c r="Q452" s="209"/>
      <c r="R452" s="185"/>
      <c r="U452" s="269"/>
      <c r="AA452" s="269"/>
    </row>
    <row r="453" spans="2:27" s="188" customFormat="1" x14ac:dyDescent="0.25">
      <c r="B453" s="266"/>
      <c r="E453" s="267"/>
      <c r="F453" s="267"/>
      <c r="G453" s="185"/>
      <c r="H453" s="268"/>
      <c r="I453" s="208"/>
      <c r="K453" s="185"/>
      <c r="M453" s="189"/>
      <c r="O453" s="185"/>
      <c r="Q453" s="209"/>
      <c r="R453" s="185"/>
      <c r="U453" s="269"/>
      <c r="AA453" s="269"/>
    </row>
    <row r="454" spans="2:27" s="188" customFormat="1" x14ac:dyDescent="0.25">
      <c r="B454" s="266"/>
      <c r="E454" s="267"/>
      <c r="F454" s="267"/>
      <c r="G454" s="185"/>
      <c r="H454" s="268"/>
      <c r="I454" s="208"/>
      <c r="K454" s="185"/>
      <c r="M454" s="189"/>
      <c r="O454" s="185"/>
      <c r="Q454" s="209"/>
      <c r="R454" s="185"/>
      <c r="U454" s="269"/>
      <c r="AA454" s="269"/>
    </row>
    <row r="455" spans="2:27" s="188" customFormat="1" x14ac:dyDescent="0.25">
      <c r="B455" s="266"/>
      <c r="E455" s="267"/>
      <c r="F455" s="267"/>
      <c r="G455" s="185"/>
      <c r="H455" s="268"/>
      <c r="I455" s="208"/>
      <c r="K455" s="185"/>
      <c r="M455" s="189"/>
      <c r="O455" s="185"/>
      <c r="Q455" s="209"/>
      <c r="R455" s="185"/>
      <c r="U455" s="269"/>
      <c r="AA455" s="269"/>
    </row>
    <row r="456" spans="2:27" s="188" customFormat="1" x14ac:dyDescent="0.25">
      <c r="B456" s="266"/>
      <c r="E456" s="267"/>
      <c r="F456" s="267"/>
      <c r="G456" s="185"/>
      <c r="H456" s="268"/>
      <c r="I456" s="208"/>
      <c r="K456" s="185"/>
      <c r="M456" s="189"/>
      <c r="O456" s="185"/>
      <c r="Q456" s="209"/>
      <c r="R456" s="185"/>
      <c r="U456" s="269"/>
      <c r="AA456" s="269"/>
    </row>
    <row r="457" spans="2:27" s="188" customFormat="1" x14ac:dyDescent="0.25">
      <c r="B457" s="266"/>
      <c r="E457" s="267"/>
      <c r="F457" s="267"/>
      <c r="G457" s="185"/>
      <c r="H457" s="268"/>
      <c r="I457" s="208"/>
      <c r="K457" s="185"/>
      <c r="M457" s="189"/>
      <c r="O457" s="185"/>
      <c r="Q457" s="209"/>
      <c r="R457" s="185"/>
      <c r="U457" s="269"/>
      <c r="AA457" s="269"/>
    </row>
    <row r="458" spans="2:27" s="188" customFormat="1" x14ac:dyDescent="0.25">
      <c r="B458" s="266"/>
      <c r="E458" s="267"/>
      <c r="F458" s="267"/>
      <c r="G458" s="185"/>
      <c r="H458" s="268"/>
      <c r="I458" s="208"/>
      <c r="K458" s="185"/>
      <c r="M458" s="189"/>
      <c r="O458" s="185"/>
      <c r="Q458" s="209"/>
      <c r="R458" s="185"/>
      <c r="U458" s="269"/>
      <c r="AA458" s="269"/>
    </row>
    <row r="459" spans="2:27" s="188" customFormat="1" x14ac:dyDescent="0.25">
      <c r="B459" s="266"/>
      <c r="E459" s="267"/>
      <c r="F459" s="267"/>
      <c r="G459" s="185"/>
      <c r="H459" s="268"/>
      <c r="I459" s="208"/>
      <c r="K459" s="185"/>
      <c r="M459" s="189"/>
      <c r="O459" s="185"/>
      <c r="Q459" s="209"/>
      <c r="R459" s="185"/>
      <c r="U459" s="269"/>
      <c r="AA459" s="269"/>
    </row>
    <row r="460" spans="2:27" s="188" customFormat="1" x14ac:dyDescent="0.25">
      <c r="B460" s="266"/>
      <c r="E460" s="267"/>
      <c r="F460" s="267"/>
      <c r="G460" s="185"/>
      <c r="H460" s="268"/>
      <c r="I460" s="208"/>
      <c r="K460" s="185"/>
      <c r="M460" s="189"/>
      <c r="O460" s="185"/>
      <c r="Q460" s="209"/>
      <c r="R460" s="185"/>
      <c r="U460" s="269"/>
      <c r="AA460" s="269"/>
    </row>
    <row r="461" spans="2:27" s="188" customFormat="1" x14ac:dyDescent="0.25">
      <c r="B461" s="266"/>
      <c r="E461" s="267"/>
      <c r="F461" s="267"/>
      <c r="G461" s="185"/>
      <c r="H461" s="268"/>
      <c r="I461" s="208"/>
      <c r="K461" s="185"/>
      <c r="M461" s="189"/>
      <c r="O461" s="185"/>
      <c r="Q461" s="209"/>
      <c r="R461" s="185"/>
      <c r="U461" s="269"/>
      <c r="AA461" s="269"/>
    </row>
    <row r="462" spans="2:27" s="188" customFormat="1" x14ac:dyDescent="0.25">
      <c r="B462" s="266"/>
      <c r="E462" s="267"/>
      <c r="F462" s="267"/>
      <c r="G462" s="185"/>
      <c r="H462" s="268"/>
      <c r="I462" s="208"/>
      <c r="K462" s="185"/>
      <c r="M462" s="189"/>
      <c r="O462" s="185"/>
      <c r="Q462" s="209"/>
      <c r="R462" s="185"/>
      <c r="U462" s="269"/>
      <c r="AA462" s="269"/>
    </row>
    <row r="463" spans="2:27" s="188" customFormat="1" x14ac:dyDescent="0.25">
      <c r="B463" s="266"/>
      <c r="E463" s="267"/>
      <c r="F463" s="267"/>
      <c r="G463" s="185"/>
      <c r="H463" s="268"/>
      <c r="I463" s="208"/>
      <c r="K463" s="185"/>
      <c r="M463" s="189"/>
      <c r="O463" s="185"/>
      <c r="Q463" s="209"/>
      <c r="R463" s="185"/>
      <c r="U463" s="269"/>
      <c r="AA463" s="269"/>
    </row>
    <row r="464" spans="2:27" s="188" customFormat="1" x14ac:dyDescent="0.25">
      <c r="B464" s="266"/>
      <c r="E464" s="267"/>
      <c r="F464" s="267"/>
      <c r="G464" s="185"/>
      <c r="H464" s="268"/>
      <c r="I464" s="208"/>
      <c r="K464" s="185"/>
      <c r="M464" s="189"/>
      <c r="O464" s="185"/>
      <c r="Q464" s="209"/>
      <c r="R464" s="185"/>
      <c r="U464" s="269"/>
      <c r="AA464" s="269"/>
    </row>
    <row r="465" spans="2:27" s="188" customFormat="1" x14ac:dyDescent="0.25">
      <c r="B465" s="266"/>
      <c r="E465" s="267"/>
      <c r="F465" s="267"/>
      <c r="G465" s="185"/>
      <c r="H465" s="268"/>
      <c r="I465" s="208"/>
      <c r="K465" s="185"/>
      <c r="M465" s="189"/>
      <c r="O465" s="185"/>
      <c r="Q465" s="209"/>
      <c r="R465" s="185"/>
      <c r="U465" s="269"/>
      <c r="AA465" s="269"/>
    </row>
    <row r="466" spans="2:27" s="188" customFormat="1" x14ac:dyDescent="0.25">
      <c r="B466" s="266"/>
      <c r="E466" s="267"/>
      <c r="F466" s="267"/>
      <c r="G466" s="185"/>
      <c r="H466" s="268"/>
      <c r="I466" s="208"/>
      <c r="K466" s="185"/>
      <c r="M466" s="189"/>
      <c r="O466" s="185"/>
      <c r="Q466" s="209"/>
      <c r="R466" s="185"/>
      <c r="U466" s="269"/>
      <c r="AA466" s="269"/>
    </row>
    <row r="467" spans="2:27" s="188" customFormat="1" x14ac:dyDescent="0.25">
      <c r="B467" s="266"/>
      <c r="E467" s="267"/>
      <c r="F467" s="267"/>
      <c r="G467" s="185"/>
      <c r="H467" s="268"/>
      <c r="I467" s="208"/>
      <c r="K467" s="185"/>
      <c r="M467" s="189"/>
      <c r="O467" s="185"/>
      <c r="Q467" s="209"/>
      <c r="R467" s="185"/>
      <c r="U467" s="269"/>
      <c r="AA467" s="269"/>
    </row>
    <row r="468" spans="2:27" s="188" customFormat="1" x14ac:dyDescent="0.25">
      <c r="B468" s="266"/>
      <c r="E468" s="267"/>
      <c r="F468" s="267"/>
      <c r="G468" s="185"/>
      <c r="H468" s="268"/>
      <c r="I468" s="208"/>
      <c r="K468" s="185"/>
      <c r="M468" s="189"/>
      <c r="O468" s="185"/>
      <c r="Q468" s="209"/>
      <c r="R468" s="185"/>
      <c r="U468" s="269"/>
      <c r="AA468" s="269"/>
    </row>
    <row r="469" spans="2:27" s="188" customFormat="1" x14ac:dyDescent="0.25">
      <c r="B469" s="266"/>
      <c r="E469" s="267"/>
      <c r="F469" s="267"/>
      <c r="G469" s="185"/>
      <c r="H469" s="268"/>
      <c r="I469" s="208"/>
      <c r="K469" s="185"/>
      <c r="M469" s="189"/>
      <c r="O469" s="185"/>
      <c r="Q469" s="209"/>
      <c r="R469" s="185"/>
      <c r="U469" s="269"/>
      <c r="AA469" s="269"/>
    </row>
    <row r="470" spans="2:27" s="188" customFormat="1" x14ac:dyDescent="0.25">
      <c r="B470" s="266"/>
      <c r="E470" s="267"/>
      <c r="F470" s="267"/>
      <c r="G470" s="185"/>
      <c r="H470" s="268"/>
      <c r="I470" s="208"/>
      <c r="K470" s="185"/>
      <c r="M470" s="189"/>
      <c r="O470" s="185"/>
      <c r="Q470" s="209"/>
      <c r="R470" s="185"/>
      <c r="U470" s="269"/>
      <c r="AA470" s="269"/>
    </row>
    <row r="471" spans="2:27" s="188" customFormat="1" x14ac:dyDescent="0.25">
      <c r="B471" s="266"/>
      <c r="E471" s="267"/>
      <c r="F471" s="267"/>
      <c r="G471" s="185"/>
      <c r="H471" s="268"/>
      <c r="I471" s="208"/>
      <c r="K471" s="185"/>
      <c r="M471" s="189"/>
      <c r="O471" s="185"/>
      <c r="Q471" s="209"/>
      <c r="R471" s="185"/>
      <c r="U471" s="269"/>
      <c r="AA471" s="269"/>
    </row>
    <row r="472" spans="2:27" s="188" customFormat="1" x14ac:dyDescent="0.25">
      <c r="B472" s="266"/>
      <c r="E472" s="267"/>
      <c r="F472" s="267"/>
      <c r="G472" s="185"/>
      <c r="H472" s="268"/>
      <c r="I472" s="208"/>
      <c r="K472" s="185"/>
      <c r="M472" s="189"/>
      <c r="O472" s="185"/>
      <c r="Q472" s="209"/>
      <c r="R472" s="185"/>
      <c r="U472" s="269"/>
      <c r="AA472" s="269"/>
    </row>
    <row r="473" spans="2:27" s="188" customFormat="1" x14ac:dyDescent="0.25">
      <c r="B473" s="266"/>
      <c r="E473" s="267"/>
      <c r="F473" s="267"/>
      <c r="G473" s="185"/>
      <c r="H473" s="268"/>
      <c r="I473" s="208"/>
      <c r="K473" s="185"/>
      <c r="M473" s="189"/>
      <c r="O473" s="185"/>
      <c r="Q473" s="209"/>
      <c r="R473" s="185"/>
      <c r="U473" s="269"/>
      <c r="AA473" s="269"/>
    </row>
    <row r="474" spans="2:27" s="188" customFormat="1" x14ac:dyDescent="0.25">
      <c r="B474" s="266"/>
      <c r="E474" s="267"/>
      <c r="F474" s="267"/>
      <c r="G474" s="185"/>
      <c r="H474" s="268"/>
      <c r="I474" s="208"/>
      <c r="K474" s="185"/>
      <c r="M474" s="189"/>
      <c r="O474" s="185"/>
      <c r="Q474" s="209"/>
      <c r="R474" s="185"/>
      <c r="U474" s="269"/>
      <c r="AA474" s="269"/>
    </row>
    <row r="475" spans="2:27" s="188" customFormat="1" x14ac:dyDescent="0.25">
      <c r="B475" s="266"/>
      <c r="E475" s="267"/>
      <c r="F475" s="267"/>
      <c r="G475" s="185"/>
      <c r="H475" s="268"/>
      <c r="I475" s="208"/>
      <c r="K475" s="185"/>
      <c r="M475" s="189"/>
      <c r="O475" s="185"/>
      <c r="Q475" s="209"/>
      <c r="R475" s="185"/>
      <c r="U475" s="269"/>
      <c r="AA475" s="269"/>
    </row>
    <row r="476" spans="2:27" s="188" customFormat="1" x14ac:dyDescent="0.25">
      <c r="B476" s="266"/>
      <c r="E476" s="267"/>
      <c r="F476" s="267"/>
      <c r="G476" s="185"/>
      <c r="H476" s="268"/>
      <c r="I476" s="208"/>
      <c r="K476" s="185"/>
      <c r="M476" s="189"/>
      <c r="O476" s="185"/>
      <c r="Q476" s="209"/>
      <c r="R476" s="185"/>
      <c r="U476" s="269"/>
      <c r="AA476" s="269"/>
    </row>
    <row r="477" spans="2:27" s="188" customFormat="1" x14ac:dyDescent="0.25">
      <c r="B477" s="266"/>
      <c r="E477" s="267"/>
      <c r="F477" s="267"/>
      <c r="G477" s="185"/>
      <c r="H477" s="268"/>
      <c r="I477" s="208"/>
      <c r="K477" s="185"/>
      <c r="M477" s="189"/>
      <c r="O477" s="185"/>
      <c r="Q477" s="209"/>
      <c r="R477" s="185"/>
      <c r="U477" s="269"/>
      <c r="AA477" s="269"/>
    </row>
    <row r="478" spans="2:27" s="188" customFormat="1" x14ac:dyDescent="0.25">
      <c r="B478" s="266"/>
      <c r="E478" s="267"/>
      <c r="F478" s="267"/>
      <c r="G478" s="185"/>
      <c r="H478" s="268"/>
      <c r="I478" s="208"/>
      <c r="K478" s="185"/>
      <c r="M478" s="189"/>
      <c r="O478" s="185"/>
      <c r="Q478" s="209"/>
      <c r="R478" s="185"/>
      <c r="U478" s="269"/>
      <c r="AA478" s="269"/>
    </row>
    <row r="479" spans="2:27" s="188" customFormat="1" x14ac:dyDescent="0.25">
      <c r="B479" s="266"/>
      <c r="E479" s="267"/>
      <c r="F479" s="267"/>
      <c r="G479" s="185"/>
      <c r="H479" s="268"/>
      <c r="I479" s="208"/>
      <c r="K479" s="185"/>
      <c r="M479" s="189"/>
      <c r="O479" s="185"/>
      <c r="Q479" s="209"/>
      <c r="R479" s="185"/>
      <c r="U479" s="269"/>
      <c r="AA479" s="269"/>
    </row>
    <row r="480" spans="2:27" s="188" customFormat="1" x14ac:dyDescent="0.25">
      <c r="B480" s="266"/>
      <c r="E480" s="267"/>
      <c r="F480" s="267"/>
      <c r="G480" s="185"/>
      <c r="H480" s="268"/>
      <c r="I480" s="208"/>
      <c r="K480" s="185"/>
      <c r="M480" s="189"/>
      <c r="O480" s="185"/>
      <c r="Q480" s="209"/>
      <c r="R480" s="185"/>
      <c r="U480" s="269"/>
      <c r="AA480" s="269"/>
    </row>
    <row r="481" spans="2:27" s="188" customFormat="1" x14ac:dyDescent="0.25">
      <c r="B481" s="266"/>
      <c r="E481" s="267"/>
      <c r="F481" s="267"/>
      <c r="G481" s="185"/>
      <c r="H481" s="268"/>
      <c r="I481" s="208"/>
      <c r="K481" s="185"/>
      <c r="M481" s="189"/>
      <c r="O481" s="185"/>
      <c r="Q481" s="209"/>
      <c r="R481" s="185"/>
      <c r="U481" s="269"/>
      <c r="AA481" s="269"/>
    </row>
    <row r="482" spans="2:27" s="188" customFormat="1" x14ac:dyDescent="0.25">
      <c r="B482" s="266"/>
      <c r="E482" s="267"/>
      <c r="F482" s="267"/>
      <c r="G482" s="185"/>
      <c r="H482" s="268"/>
      <c r="I482" s="208"/>
      <c r="K482" s="185"/>
      <c r="M482" s="189"/>
      <c r="O482" s="185"/>
      <c r="Q482" s="209"/>
      <c r="R482" s="185"/>
      <c r="U482" s="269"/>
      <c r="AA482" s="269"/>
    </row>
    <row r="483" spans="2:27" s="188" customFormat="1" x14ac:dyDescent="0.25">
      <c r="B483" s="266"/>
      <c r="E483" s="267"/>
      <c r="F483" s="267"/>
      <c r="G483" s="185"/>
      <c r="H483" s="268"/>
      <c r="I483" s="208"/>
      <c r="K483" s="185"/>
      <c r="M483" s="189"/>
      <c r="O483" s="185"/>
      <c r="Q483" s="209"/>
      <c r="R483" s="185"/>
      <c r="U483" s="269"/>
      <c r="AA483" s="269"/>
    </row>
    <row r="484" spans="2:27" s="188" customFormat="1" x14ac:dyDescent="0.25">
      <c r="B484" s="266"/>
      <c r="E484" s="267"/>
      <c r="F484" s="267"/>
      <c r="G484" s="185"/>
      <c r="H484" s="268"/>
      <c r="I484" s="208"/>
      <c r="K484" s="185"/>
      <c r="M484" s="189"/>
      <c r="O484" s="185"/>
      <c r="Q484" s="209"/>
      <c r="R484" s="185"/>
      <c r="U484" s="269"/>
      <c r="AA484" s="269"/>
    </row>
    <row r="485" spans="2:27" s="188" customFormat="1" x14ac:dyDescent="0.25">
      <c r="B485" s="266"/>
      <c r="E485" s="267"/>
      <c r="F485" s="267"/>
      <c r="G485" s="185"/>
      <c r="H485" s="268"/>
      <c r="I485" s="208"/>
      <c r="K485" s="185"/>
      <c r="M485" s="189"/>
      <c r="O485" s="185"/>
      <c r="Q485" s="209"/>
      <c r="R485" s="185"/>
      <c r="U485" s="269"/>
      <c r="AA485" s="269"/>
    </row>
    <row r="486" spans="2:27" s="188" customFormat="1" x14ac:dyDescent="0.25">
      <c r="B486" s="266"/>
      <c r="E486" s="267"/>
      <c r="F486" s="267"/>
      <c r="G486" s="185"/>
      <c r="H486" s="268"/>
      <c r="I486" s="208"/>
      <c r="K486" s="185"/>
      <c r="M486" s="189"/>
      <c r="O486" s="185"/>
      <c r="Q486" s="209"/>
      <c r="R486" s="185"/>
      <c r="U486" s="269"/>
      <c r="AA486" s="269"/>
    </row>
    <row r="487" spans="2:27" s="188" customFormat="1" x14ac:dyDescent="0.25">
      <c r="B487" s="266"/>
      <c r="E487" s="267"/>
      <c r="F487" s="267"/>
      <c r="G487" s="185"/>
      <c r="H487" s="268"/>
      <c r="I487" s="208"/>
      <c r="K487" s="185"/>
      <c r="M487" s="189"/>
      <c r="O487" s="185"/>
      <c r="Q487" s="209"/>
      <c r="R487" s="185"/>
      <c r="U487" s="269"/>
      <c r="AA487" s="269"/>
    </row>
    <row r="488" spans="2:27" s="188" customFormat="1" x14ac:dyDescent="0.25">
      <c r="B488" s="266"/>
      <c r="E488" s="267"/>
      <c r="F488" s="267"/>
      <c r="G488" s="185"/>
      <c r="H488" s="268"/>
      <c r="I488" s="208"/>
      <c r="K488" s="185"/>
      <c r="M488" s="189"/>
      <c r="O488" s="185"/>
      <c r="Q488" s="209"/>
      <c r="R488" s="185"/>
      <c r="U488" s="269"/>
      <c r="AA488" s="269"/>
    </row>
    <row r="489" spans="2:27" s="188" customFormat="1" x14ac:dyDescent="0.25">
      <c r="B489" s="266"/>
      <c r="E489" s="267"/>
      <c r="F489" s="267"/>
      <c r="G489" s="185"/>
      <c r="H489" s="268"/>
      <c r="I489" s="208"/>
      <c r="K489" s="185"/>
      <c r="M489" s="189"/>
      <c r="O489" s="185"/>
      <c r="Q489" s="209"/>
      <c r="R489" s="185"/>
      <c r="U489" s="269"/>
      <c r="AA489" s="269"/>
    </row>
    <row r="490" spans="2:27" s="188" customFormat="1" x14ac:dyDescent="0.25">
      <c r="B490" s="266"/>
      <c r="E490" s="267"/>
      <c r="F490" s="267"/>
      <c r="G490" s="185"/>
      <c r="H490" s="268"/>
      <c r="I490" s="208"/>
      <c r="K490" s="185"/>
      <c r="M490" s="189"/>
      <c r="O490" s="185"/>
      <c r="Q490" s="209"/>
      <c r="R490" s="185"/>
      <c r="U490" s="269"/>
      <c r="AA490" s="269"/>
    </row>
    <row r="491" spans="2:27" s="188" customFormat="1" x14ac:dyDescent="0.25">
      <c r="B491" s="266"/>
      <c r="E491" s="267"/>
      <c r="F491" s="267"/>
      <c r="G491" s="185"/>
      <c r="H491" s="268"/>
      <c r="I491" s="208"/>
      <c r="K491" s="185"/>
      <c r="M491" s="189"/>
      <c r="O491" s="185"/>
      <c r="Q491" s="209"/>
      <c r="R491" s="185"/>
      <c r="U491" s="269"/>
      <c r="AA491" s="269"/>
    </row>
    <row r="492" spans="2:27" s="188" customFormat="1" x14ac:dyDescent="0.25">
      <c r="B492" s="266"/>
      <c r="E492" s="267"/>
      <c r="F492" s="267"/>
      <c r="G492" s="185"/>
      <c r="H492" s="268"/>
      <c r="I492" s="208"/>
      <c r="K492" s="185"/>
      <c r="M492" s="189"/>
      <c r="O492" s="185"/>
      <c r="Q492" s="209"/>
      <c r="R492" s="185"/>
      <c r="U492" s="269"/>
      <c r="AA492" s="269"/>
    </row>
    <row r="493" spans="2:27" s="188" customFormat="1" x14ac:dyDescent="0.25">
      <c r="B493" s="266"/>
      <c r="E493" s="267"/>
      <c r="F493" s="267"/>
      <c r="G493" s="185"/>
      <c r="H493" s="268"/>
      <c r="I493" s="208"/>
      <c r="K493" s="185"/>
      <c r="M493" s="189"/>
      <c r="O493" s="185"/>
      <c r="Q493" s="209"/>
      <c r="R493" s="185"/>
      <c r="U493" s="269"/>
      <c r="AA493" s="269"/>
    </row>
    <row r="494" spans="2:27" s="188" customFormat="1" x14ac:dyDescent="0.25">
      <c r="B494" s="266"/>
      <c r="E494" s="267"/>
      <c r="F494" s="267"/>
      <c r="G494" s="185"/>
      <c r="H494" s="268"/>
      <c r="I494" s="208"/>
      <c r="K494" s="185"/>
      <c r="M494" s="189"/>
      <c r="O494" s="185"/>
      <c r="Q494" s="209"/>
      <c r="R494" s="185"/>
      <c r="U494" s="269"/>
      <c r="AA494" s="269"/>
    </row>
    <row r="495" spans="2:27" s="188" customFormat="1" x14ac:dyDescent="0.25">
      <c r="B495" s="266"/>
      <c r="E495" s="267"/>
      <c r="F495" s="267"/>
      <c r="G495" s="185"/>
      <c r="H495" s="268"/>
      <c r="I495" s="208"/>
      <c r="K495" s="185"/>
      <c r="M495" s="189"/>
      <c r="O495" s="185"/>
      <c r="Q495" s="209"/>
      <c r="R495" s="185"/>
      <c r="U495" s="269"/>
      <c r="AA495" s="269"/>
    </row>
    <row r="496" spans="2:27" s="188" customFormat="1" x14ac:dyDescent="0.25">
      <c r="B496" s="266"/>
      <c r="E496" s="267"/>
      <c r="F496" s="267"/>
      <c r="G496" s="185"/>
      <c r="H496" s="268"/>
      <c r="I496" s="208"/>
      <c r="K496" s="185"/>
      <c r="M496" s="189"/>
      <c r="O496" s="185"/>
      <c r="Q496" s="209"/>
      <c r="R496" s="185"/>
      <c r="U496" s="269"/>
      <c r="AA496" s="269"/>
    </row>
    <row r="497" spans="2:27" s="188" customFormat="1" x14ac:dyDescent="0.25">
      <c r="B497" s="266"/>
      <c r="E497" s="267"/>
      <c r="F497" s="267"/>
      <c r="G497" s="185"/>
      <c r="H497" s="268"/>
      <c r="I497" s="208"/>
      <c r="K497" s="185"/>
      <c r="M497" s="189"/>
      <c r="O497" s="185"/>
      <c r="Q497" s="209"/>
      <c r="R497" s="185"/>
      <c r="U497" s="269"/>
      <c r="AA497" s="269"/>
    </row>
    <row r="498" spans="2:27" s="188" customFormat="1" x14ac:dyDescent="0.25">
      <c r="B498" s="266"/>
      <c r="E498" s="267"/>
      <c r="F498" s="267"/>
      <c r="G498" s="185"/>
      <c r="H498" s="268"/>
      <c r="I498" s="208"/>
      <c r="K498" s="185"/>
      <c r="M498" s="189"/>
      <c r="O498" s="185"/>
      <c r="Q498" s="209"/>
      <c r="R498" s="185"/>
      <c r="U498" s="269"/>
      <c r="AA498" s="269"/>
    </row>
    <row r="499" spans="2:27" s="188" customFormat="1" x14ac:dyDescent="0.25">
      <c r="B499" s="266"/>
      <c r="E499" s="267"/>
      <c r="F499" s="267"/>
      <c r="G499" s="185"/>
      <c r="H499" s="268"/>
      <c r="I499" s="208"/>
      <c r="K499" s="185"/>
      <c r="M499" s="189"/>
      <c r="O499" s="185"/>
      <c r="Q499" s="209"/>
      <c r="R499" s="185"/>
      <c r="U499" s="269"/>
      <c r="AA499" s="269"/>
    </row>
    <row r="500" spans="2:27" s="188" customFormat="1" x14ac:dyDescent="0.25">
      <c r="B500" s="266"/>
      <c r="E500" s="267"/>
      <c r="F500" s="267"/>
      <c r="G500" s="185"/>
      <c r="H500" s="268"/>
      <c r="I500" s="208"/>
      <c r="K500" s="185"/>
      <c r="M500" s="189"/>
      <c r="O500" s="185"/>
      <c r="Q500" s="209"/>
      <c r="R500" s="185"/>
      <c r="U500" s="269"/>
      <c r="AA500" s="269"/>
    </row>
    <row r="501" spans="2:27" s="188" customFormat="1" x14ac:dyDescent="0.25">
      <c r="B501" s="266"/>
      <c r="E501" s="267"/>
      <c r="F501" s="267"/>
      <c r="G501" s="185"/>
      <c r="H501" s="268"/>
      <c r="I501" s="208"/>
      <c r="K501" s="185"/>
      <c r="M501" s="189"/>
      <c r="O501" s="185"/>
      <c r="Q501" s="209"/>
      <c r="R501" s="185"/>
      <c r="U501" s="269"/>
      <c r="AA501" s="269"/>
    </row>
    <row r="502" spans="2:27" s="188" customFormat="1" x14ac:dyDescent="0.25">
      <c r="B502" s="266"/>
      <c r="E502" s="267"/>
      <c r="F502" s="267"/>
      <c r="G502" s="185"/>
      <c r="H502" s="268"/>
      <c r="I502" s="208"/>
      <c r="K502" s="185"/>
      <c r="M502" s="189"/>
      <c r="O502" s="185"/>
      <c r="Q502" s="209"/>
      <c r="R502" s="185"/>
      <c r="U502" s="269"/>
      <c r="AA502" s="269"/>
    </row>
    <row r="503" spans="2:27" s="188" customFormat="1" x14ac:dyDescent="0.25">
      <c r="B503" s="266"/>
      <c r="E503" s="267"/>
      <c r="F503" s="267"/>
      <c r="G503" s="185"/>
      <c r="H503" s="268"/>
      <c r="I503" s="208"/>
      <c r="K503" s="185"/>
      <c r="M503" s="189"/>
      <c r="O503" s="185"/>
      <c r="Q503" s="209"/>
      <c r="R503" s="185"/>
      <c r="U503" s="269"/>
      <c r="AA503" s="269"/>
    </row>
    <row r="504" spans="2:27" s="188" customFormat="1" x14ac:dyDescent="0.25">
      <c r="B504" s="266"/>
      <c r="E504" s="267"/>
      <c r="F504" s="267"/>
      <c r="G504" s="185"/>
      <c r="H504" s="268"/>
      <c r="I504" s="208"/>
      <c r="K504" s="185"/>
      <c r="M504" s="189"/>
      <c r="O504" s="185"/>
      <c r="Q504" s="209"/>
      <c r="R504" s="185"/>
      <c r="U504" s="269"/>
      <c r="AA504" s="269"/>
    </row>
    <row r="505" spans="2:27" s="188" customFormat="1" x14ac:dyDescent="0.25">
      <c r="B505" s="266"/>
      <c r="E505" s="267"/>
      <c r="F505" s="267"/>
      <c r="G505" s="185"/>
      <c r="H505" s="268"/>
      <c r="I505" s="208"/>
      <c r="K505" s="185"/>
      <c r="M505" s="189"/>
      <c r="O505" s="185"/>
      <c r="Q505" s="209"/>
      <c r="R505" s="185"/>
      <c r="U505" s="269"/>
      <c r="AA505" s="269"/>
    </row>
    <row r="506" spans="2:27" s="188" customFormat="1" x14ac:dyDescent="0.25">
      <c r="B506" s="266"/>
      <c r="E506" s="267"/>
      <c r="F506" s="267"/>
      <c r="G506" s="185"/>
      <c r="H506" s="268"/>
      <c r="I506" s="208"/>
      <c r="K506" s="185"/>
      <c r="M506" s="189"/>
      <c r="O506" s="185"/>
      <c r="Q506" s="209"/>
      <c r="R506" s="185"/>
      <c r="U506" s="269"/>
      <c r="AA506" s="269"/>
    </row>
    <row r="507" spans="2:27" s="188" customFormat="1" x14ac:dyDescent="0.25">
      <c r="B507" s="266"/>
      <c r="E507" s="267"/>
      <c r="F507" s="267"/>
      <c r="G507" s="185"/>
      <c r="H507" s="268"/>
      <c r="I507" s="208"/>
      <c r="K507" s="185"/>
      <c r="M507" s="189"/>
      <c r="O507" s="185"/>
      <c r="Q507" s="209"/>
      <c r="R507" s="185"/>
      <c r="U507" s="269"/>
      <c r="AA507" s="269"/>
    </row>
  </sheetData>
  <protectedRanges>
    <protectedRange algorithmName="SHA-512" hashValue="lzoMZvHyjLMmTrfREM0wNEyG4MFmDQUMJ+5UWcLWjpJlt3PEYC7vtAB1heg++7dFuDf80FazWzWqZMZLaHcE1g==" saltValue="0PXeVDFKAEsYYdizPuTeVA==" spinCount="100000" sqref="M19:N19 M37:N37 M47:N47 M58:N67 M77:N77 M87:N87 M97:N97 M107:N107 M117:N117 M127:N127 AK136:AL136 P140:Q140 M140:N140 P47:Q47 P77 P87 P97:Q97 P107:Q107 P117:Q117 P127:Q127 M38:AL46 P37:Q37 P19:Q19 M27:N35 M21:N21 P21:Q21 P27:Q35 P58 M51:P57 Q51:Q58 P59:Q67 M74:P76 M78:P81 Q74:Q81 M84:P86 M88:P88 Q84:Q88 M36:AL36 M136:N136 P136:Q136 S140:T140 S47:T47 S77 S87 S97:T97 S107:T107 S117:T117 S127:T127 M20:AL20 S37:T37 S19:T19 S21:T21 S27:T35 S58 R51:S57 T51:T58 S59:T67 R74:S76 R78:S81 T74:T81 R84:S86 R88:S88 T84:T88 M48:AL50 M68:AL73 S136:T136 V140:W140 V47:W47 V77 V87 V97:W97 V107:W107 V117:W117 V127:W127 M82:AL83 V37:W37 V19:W19 V21:W21 V27:W35 V58 U51:V57 W51:W58 V59:W67 U74:V76 U78:V81 W74:W81 U84:V86 U88:V88 W84:W88 M98:AL106 M108:AL116 V136:W136 Y140:Z140 Y47:Z47 Y77 Y87 Y97:Z97 Y107:Z107 Y117:Z117 Y127:Z127 M118:AL126 Y37:Z37 Y19:Z19 Y21:Z21 Y27:Z35 Y58 X51:Y57 Z51:Z58 Y59:Z67 X74:Y76 X78:Y81 Z74:Z81 X84:Y86 X88:Y88 Z84:Z88 M128:AL135 Y136:Z136 AB140:AC140 AB47:AC47 AB77 AB87 AB97:AC97 AB107:AC107 AB117:AC117 AB127:AC127 M89:AL96 AB37:AC37 AB19:AC19 AB21:AC21 AB27:AC35 AB58 AA51:AB57 AC51:AC58 AB59:AC67 AA74:AB76 AA78:AB81 AC74:AC81 AA84:AB86 AA88:AB88 AC84:AC88 AB136:AC136 AE140:AF140 AE47:AF47 AE77 AE87 AE97:AF97 AE107:AF107 AE117:AF117 AE127:AF127 M137:AL139 AE37:AF37 AE19:AF19 AE21:AF21 AE27:AF35 AE58 AD51:AE57 AF51:AF58 AE59:AF67 AD74:AE76 AD78:AE81 AF74:AF81 AD84:AE86 AD88:AE88 AF84:AF88 AE136:AF136 AH140:AI140 AH47:AI47 AH77 AH87 AH97:AI97 AH107:AI107 AH117:AI117 AH127:AI127 AH37:AI37 AH19:AI19 AH21:AI21 AH27:AI35 AH58 AG51:AH57 AI51:AI58 AH59:AI67 AG74:AH76 AG78:AH81 AI74:AI81 AG84:AH86 AG88:AH88 AI84:AI88 AH136:AI136 AK140:AL140 AK47:AL47 AK77 AK87 AK97:AL97 AK107:AL107 AK117:AL117 AK127:AL127 AK37:AL37 AK19:AL19 AK21:AL21 AK27:AL35 AK58 AJ51:AK57 AL51:AL58 AK59:AL67 AJ74:AK76 AJ78:AK81 AL74:AL81 AJ84:AK86 AJ88:AK88 AL84:AL88 M141:AL168 M22:AL26" name="Scenario Calculations"/>
    <protectedRange algorithmName="SHA-512" hashValue="FEEw50HX38gwMHul9id/1bhCWeHd84CYxgb7nyb201MzGDMS9SJsU4pRwIIdpoOewEVuipy6KrHUPWDO856ZfQ==" saltValue="duepZuyVGJsKifd/H/f8Rg==" spinCount="100000" sqref="AJ97 AJ107 K37:K42 O19 K27:K35 O140 K60:K65 O37 K47 O47 K58 O58:O67 K77 O77 K87 O87 K97 O97 K107 O107 K117 O117 K127 O127 G127 AJ117 AJ127 AJ27:AJ35 O27:O35 R19 R140 R37 R47 R58:R67 R77 R87 R97 R107 R117 R127 G117 R27:R35 U19 U140 U37 U47 U58:U67 U77 U87 U97 U107 U117 U127 G107 G60:G65 U27:U35 X19 X140 X37 X47 X58:X67 X77 X87 X97 X107 X117 X127 G97 G152:G153 X27:X35 AA19 AA140 AA37 AA47 AA58:AA67 AA77 AA87 AA97 AA107 AA117 AA127 G77 AA27:AA35 AD19 AD140 AD37 AD47 AD58:AD67 AD77 AD87 AD97 AD107 AD117 AD127 G19 AD27:AD35 AG19 AG140 AG37 AG47 AG58:AG67 AG77 AG87 AG97 AG107 AG117 AG127 G57:G58 AG27:AG35 AJ19 AJ140 AJ37 AJ47 AJ58:AJ67 AJ77 AJ87 G146:G147 G47:G48 G37:G42 G34:G35" name="Cost Sums"/>
    <protectedRange algorithmName="SHA-512" hashValue="lzoMZvHyjLMmTrfREM0wNEyG4MFmDQUMJ+5UWcLWjpJlt3PEYC7vtAB1heg++7dFuDf80FazWzWqZMZLaHcE1g==" saltValue="0PXeVDFKAEsYYdizPuTeVA==" spinCount="100000" sqref="AM38:AP46 AM36:AP36 AM20:AP20 AM48:AP50 AM68:AP73 AM82:AP83 AM98:AP106 AM128:AP135 AM89:AP96 AM137:AP139 AN140:AO140 AN47:AO47 AN77 AN87 AN97:AO97 AN107:AO107 AN117:AO117 AN127:AO127 AN37:AO37 AN19:AO19 AN21:AO21 AN27:AO35 AN58 AM51:AN57 AO51:AO58 AN59:AO67 AM74:AN76 AM78:AN81 AO74:AO81 AM84:AN86 AM88:AN88 AO84:AO88 AN136:AO136 AP51:AP57 AP74:AP76 AP78:AP81 AP84:AP86 AP88 AM141:AP168 AM22:AP26 AQ19:AR168 AM108:AP116 AM118:AP126" name="Scenario Calculations_3"/>
    <protectedRange algorithmName="SHA-512" hashValue="FEEw50HX38gwMHul9id/1bhCWeHd84CYxgb7nyb201MzGDMS9SJsU4pRwIIdpoOewEVuipy6KrHUPWDO856ZfQ==" saltValue="duepZuyVGJsKifd/H/f8Rg==" spinCount="100000" sqref="AP97 AP107 AP117 AP127 AP27:AP35 AM19 AM140 AM37 AM47 AM58:AM67 AM77 AM87 AM97 AM107 AM117 AM127 AM27:AM35 AP19 AP140 AP37 AP47 AP58:AP67 AP77 AP87" name="Cost Sums_4"/>
    <protectedRange algorithmName="SHA-512" hashValue="FEEw50HX38gwMHul9id/1bhCWeHd84CYxgb7nyb201MzGDMS9SJsU4pRwIIdpoOewEVuipy6KrHUPWDO856ZfQ==" saltValue="duepZuyVGJsKifd/H/f8Rg==" spinCount="100000" sqref="I37 I47 I19 I27" name="Cost Sums_1_1"/>
    <protectedRange algorithmName="SHA-512" hashValue="FEEw50HX38gwMHul9id/1bhCWeHd84CYxgb7nyb201MzGDMS9SJsU4pRwIIdpoOewEVuipy6KrHUPWDO856ZfQ==" saltValue="duepZuyVGJsKifd/H/f8Rg==" spinCount="100000" sqref="I77 I97 I107 I117 I127 I60:I65 I57:I58 I140 I152:I153" name="Cost Sums_3_1"/>
    <protectedRange algorithmName="SHA-512" hashValue="lzoMZvHyjLMmTrfREM0wNEyG4MFmDQUMJ+5UWcLWjpJlt3PEYC7vtAB1heg++7dFuDf80FazWzWqZMZLaHcE1g==" saltValue="0PXeVDFKAEsYYdizPuTeVA==" spinCount="100000" sqref="Q13:Q14 Q9:Q11 T13:T14 T9:T11 AO13:AO14 AR13:AR14 W13:W14 Z13:Z14 AC13:AC14 AF13:AF14 AI13:AI14 AL13:AL14 N13:N14 N9:N11 W9:W11 Z9:Z11 AC9:AC11 AF9:AF11 AI9:AI11 AL9:AL11 AO9:AO11 AR9:AR11" name="Scenario Calculations_3_1_1_1_1"/>
    <protectedRange algorithmName="SHA-512" hashValue="lzoMZvHyjLMmTrfREM0wNEyG4MFmDQUMJ+5UWcLWjpJlt3PEYC7vtAB1heg++7dFuDf80FazWzWqZMZLaHcE1g==" saltValue="0PXeVDFKAEsYYdizPuTeVA==" spinCount="100000" sqref="Q12 T12 AO12 AR12 N12 W12 Z12 AC12 AF12 AI12 AL12" name="Scenario Calculations_1_2_1_1_1_1"/>
  </protectedRanges>
  <customSheetViews>
    <customSheetView guid="{B4B2789E-A92B-47A1-806A-E79E8613D3F5}" scale="85">
      <selection activeCell="C1" sqref="C1:D1"/>
      <pageMargins left="0.7" right="0.7" top="0.75" bottom="0.75" header="0.3" footer="0.3"/>
      <pageSetup orientation="portrait"/>
    </customSheetView>
    <customSheetView guid="{243EEA98-E2F9-4DAE-A7D1-6A008E515787}" scale="85" showAutoFilter="1" hiddenColumns="1">
      <selection activeCell="C1" sqref="C1:D1"/>
      <pageMargins left="0.7" right="0.7" top="0.75" bottom="0.75" header="0.3" footer="0.3"/>
      <pageSetup orientation="portrait"/>
      <autoFilter ref="B3:V3">
        <sortState ref="B3:V232">
          <sortCondition ref="B3:B232"/>
          <sortCondition ref="C3:C232"/>
        </sortState>
      </autoFilter>
    </customSheetView>
  </customSheetViews>
  <mergeCells count="143">
    <mergeCell ref="AD8:AE8"/>
    <mergeCell ref="AG8:AH8"/>
    <mergeCell ref="AJ8:AK8"/>
    <mergeCell ref="AM8:AN8"/>
    <mergeCell ref="AP8:AQ8"/>
    <mergeCell ref="L12:M12"/>
    <mergeCell ref="R12:S12"/>
    <mergeCell ref="U12:V12"/>
    <mergeCell ref="X12:Y12"/>
    <mergeCell ref="AA12:AB12"/>
    <mergeCell ref="AD12:AE12"/>
    <mergeCell ref="AG12:AH12"/>
    <mergeCell ref="AJ12:AK12"/>
    <mergeCell ref="AM12:AN12"/>
    <mergeCell ref="AP12:AQ12"/>
    <mergeCell ref="L10:M10"/>
    <mergeCell ref="R10:S10"/>
    <mergeCell ref="U10:V10"/>
    <mergeCell ref="X10:Y10"/>
    <mergeCell ref="AA10:AB10"/>
    <mergeCell ref="AD10:AE10"/>
    <mergeCell ref="AG10:AH10"/>
    <mergeCell ref="AJ10:AK10"/>
    <mergeCell ref="AM10:AN10"/>
    <mergeCell ref="AA8:AB8"/>
    <mergeCell ref="O8:P8"/>
    <mergeCell ref="R11:S11"/>
    <mergeCell ref="U11:V11"/>
    <mergeCell ref="X11:Y11"/>
    <mergeCell ref="AA11:AB11"/>
    <mergeCell ref="X9:Y9"/>
    <mergeCell ref="AA9:AB9"/>
    <mergeCell ref="U8:V8"/>
    <mergeCell ref="X8:Y8"/>
    <mergeCell ref="R8:S8"/>
    <mergeCell ref="AM16:AR16"/>
    <mergeCell ref="AM17:AO17"/>
    <mergeCell ref="AP17:AR17"/>
    <mergeCell ref="L5:M5"/>
    <mergeCell ref="O5:P5"/>
    <mergeCell ref="R5:S5"/>
    <mergeCell ref="U5:V5"/>
    <mergeCell ref="X5:Y5"/>
    <mergeCell ref="AA5:AB5"/>
    <mergeCell ref="AD5:AE5"/>
    <mergeCell ref="AG5:AH5"/>
    <mergeCell ref="AJ5:AK5"/>
    <mergeCell ref="L6:M6"/>
    <mergeCell ref="O6:P6"/>
    <mergeCell ref="R6:S6"/>
    <mergeCell ref="U6:V6"/>
    <mergeCell ref="AM13:AN13"/>
    <mergeCell ref="AJ9:AK9"/>
    <mergeCell ref="AA7:AB7"/>
    <mergeCell ref="AD7:AE7"/>
    <mergeCell ref="AG7:AH7"/>
    <mergeCell ref="AJ7:AK7"/>
    <mergeCell ref="AP13:AQ13"/>
    <mergeCell ref="AM14:AN14"/>
    <mergeCell ref="AP14:AQ14"/>
    <mergeCell ref="AM9:AN9"/>
    <mergeCell ref="AP9:AQ9"/>
    <mergeCell ref="AM11:AN11"/>
    <mergeCell ref="AP11:AQ11"/>
    <mergeCell ref="AP10:AQ10"/>
    <mergeCell ref="AM6:AN6"/>
    <mergeCell ref="AP6:AQ6"/>
    <mergeCell ref="AM7:AN7"/>
    <mergeCell ref="AP7:AQ7"/>
    <mergeCell ref="AM2:AR2"/>
    <mergeCell ref="AM4:AN4"/>
    <mergeCell ref="AP4:AQ4"/>
    <mergeCell ref="AM5:AN5"/>
    <mergeCell ref="AP5:AQ5"/>
    <mergeCell ref="L16:N16"/>
    <mergeCell ref="R14:S14"/>
    <mergeCell ref="R13:S13"/>
    <mergeCell ref="O14:P14"/>
    <mergeCell ref="X14:Y14"/>
    <mergeCell ref="X13:Y13"/>
    <mergeCell ref="AD13:AE13"/>
    <mergeCell ref="AA13:AB13"/>
    <mergeCell ref="AD14:AE14"/>
    <mergeCell ref="L4:M4"/>
    <mergeCell ref="O4:P4"/>
    <mergeCell ref="R4:S4"/>
    <mergeCell ref="U4:V4"/>
    <mergeCell ref="X4:Y4"/>
    <mergeCell ref="L14:M14"/>
    <mergeCell ref="L13:M13"/>
    <mergeCell ref="U14:V14"/>
    <mergeCell ref="O13:P13"/>
    <mergeCell ref="U13:V13"/>
    <mergeCell ref="O12:P12"/>
    <mergeCell ref="L9:M9"/>
    <mergeCell ref="O9:P9"/>
    <mergeCell ref="R9:S9"/>
    <mergeCell ref="U9:V9"/>
    <mergeCell ref="L11:M11"/>
    <mergeCell ref="O11:P11"/>
    <mergeCell ref="X6:Y6"/>
    <mergeCell ref="O17:Q17"/>
    <mergeCell ref="R17:T17"/>
    <mergeCell ref="O16:T16"/>
    <mergeCell ref="O10:P10"/>
    <mergeCell ref="L7:M7"/>
    <mergeCell ref="O7:P7"/>
    <mergeCell ref="R7:S7"/>
    <mergeCell ref="U7:V7"/>
    <mergeCell ref="X7:Y7"/>
    <mergeCell ref="L8:M8"/>
    <mergeCell ref="AG16:AL16"/>
    <mergeCell ref="AG17:AI17"/>
    <mergeCell ref="AJ17:AL17"/>
    <mergeCell ref="AA16:AF16"/>
    <mergeCell ref="AA17:AC17"/>
    <mergeCell ref="AD17:AF17"/>
    <mergeCell ref="U16:Z16"/>
    <mergeCell ref="U17:W17"/>
    <mergeCell ref="X17:Z17"/>
    <mergeCell ref="AJ13:AK13"/>
    <mergeCell ref="AG13:AH13"/>
    <mergeCell ref="AA14:AB14"/>
    <mergeCell ref="AG14:AH14"/>
    <mergeCell ref="AJ14:AK14"/>
    <mergeCell ref="AG11:AH11"/>
    <mergeCell ref="AJ11:AK11"/>
    <mergeCell ref="AD11:AE11"/>
    <mergeCell ref="AD9:AE9"/>
    <mergeCell ref="AG9:AH9"/>
    <mergeCell ref="AA6:AB6"/>
    <mergeCell ref="AD6:AE6"/>
    <mergeCell ref="AG6:AH6"/>
    <mergeCell ref="AJ6:AK6"/>
    <mergeCell ref="O1:AL1"/>
    <mergeCell ref="AA2:AF2"/>
    <mergeCell ref="AA4:AB4"/>
    <mergeCell ref="AD4:AE4"/>
    <mergeCell ref="O2:T2"/>
    <mergeCell ref="U2:Z2"/>
    <mergeCell ref="AG2:AL2"/>
    <mergeCell ref="AG4:AH4"/>
    <mergeCell ref="AJ4:AK4"/>
  </mergeCells>
  <conditionalFormatting sqref="M38:N42 M48:N63 M68:N76 M78:N86 M90:N96 M98:N106 M108:N111 M118:N126 M128:N134 M44:N46 M113:N116 M141:N142 M158:N158 M16:N36 M152:N156 M161:N162 M164:N1048576">
    <cfRule type="containsErrors" dxfId="331" priority="854">
      <formula>ISERROR(M16)</formula>
    </cfRule>
  </conditionalFormatting>
  <conditionalFormatting sqref="Q38:Q42 Q98:Q106 Q108:Q111 Q118:Q126 Q128:Q134 Q44:Q46 Q113:Q116 Q169:T1048576 Q22:Q36 Q18:Q20 T18 Q48:Q65 Q68:Q88 Q90:Q96">
    <cfRule type="containsErrors" dxfId="330" priority="851">
      <formula>ISERROR(Q18)</formula>
    </cfRule>
  </conditionalFormatting>
  <conditionalFormatting sqref="Q66">
    <cfRule type="containsErrors" dxfId="329" priority="746">
      <formula>ISERROR(Q66)</formula>
    </cfRule>
  </conditionalFormatting>
  <conditionalFormatting sqref="M37:N37">
    <cfRule type="containsErrors" dxfId="328" priority="849">
      <formula>ISERROR(M37)</formula>
    </cfRule>
  </conditionalFormatting>
  <conditionalFormatting sqref="Q37">
    <cfRule type="containsErrors" dxfId="327" priority="847">
      <formula>ISERROR(Q37)</formula>
    </cfRule>
  </conditionalFormatting>
  <conditionalFormatting sqref="Q43">
    <cfRule type="containsErrors" dxfId="326" priority="750">
      <formula>ISERROR(Q43)</formula>
    </cfRule>
  </conditionalFormatting>
  <conditionalFormatting sqref="M47:N47">
    <cfRule type="containsErrors" dxfId="325" priority="845">
      <formula>ISERROR(M47)</formula>
    </cfRule>
  </conditionalFormatting>
  <conditionalFormatting sqref="Q47">
    <cfRule type="containsErrors" dxfId="324" priority="843">
      <formula>ISERROR(Q47)</formula>
    </cfRule>
  </conditionalFormatting>
  <conditionalFormatting sqref="M67:N67">
    <cfRule type="containsErrors" dxfId="323" priority="841">
      <formula>ISERROR(M67)</formula>
    </cfRule>
  </conditionalFormatting>
  <conditionalFormatting sqref="Q67">
    <cfRule type="containsErrors" dxfId="322" priority="839">
      <formula>ISERROR(Q67)</formula>
    </cfRule>
  </conditionalFormatting>
  <conditionalFormatting sqref="M77:N77">
    <cfRule type="containsErrors" dxfId="321" priority="837">
      <formula>ISERROR(M77)</formula>
    </cfRule>
  </conditionalFormatting>
  <conditionalFormatting sqref="Q140:Q144">
    <cfRule type="containsErrors" dxfId="320" priority="765">
      <formula>ISERROR(Q140)</formula>
    </cfRule>
  </conditionalFormatting>
  <conditionalFormatting sqref="M97:N97">
    <cfRule type="containsErrors" dxfId="319" priority="829">
      <formula>ISERROR(M97)</formula>
    </cfRule>
  </conditionalFormatting>
  <conditionalFormatting sqref="Q97">
    <cfRule type="containsErrors" dxfId="318" priority="827">
      <formula>ISERROR(Q97)</formula>
    </cfRule>
  </conditionalFormatting>
  <conditionalFormatting sqref="Q89">
    <cfRule type="containsErrors" dxfId="317" priority="730">
      <formula>ISERROR(Q89)</formula>
    </cfRule>
  </conditionalFormatting>
  <conditionalFormatting sqref="M107:N107">
    <cfRule type="containsErrors" dxfId="316" priority="825">
      <formula>ISERROR(M107)</formula>
    </cfRule>
  </conditionalFormatting>
  <conditionalFormatting sqref="Q107">
    <cfRule type="containsErrors" dxfId="315" priority="823">
      <formula>ISERROR(Q107)</formula>
    </cfRule>
  </conditionalFormatting>
  <conditionalFormatting sqref="Q112">
    <cfRule type="containsErrors" dxfId="314" priority="726">
      <formula>ISERROR(Q112)</formula>
    </cfRule>
  </conditionalFormatting>
  <conditionalFormatting sqref="M117:N117">
    <cfRule type="containsErrors" dxfId="313" priority="821">
      <formula>ISERROR(M117)</formula>
    </cfRule>
  </conditionalFormatting>
  <conditionalFormatting sqref="Q117">
    <cfRule type="containsErrors" dxfId="312" priority="819">
      <formula>ISERROR(Q117)</formula>
    </cfRule>
  </conditionalFormatting>
  <conditionalFormatting sqref="Q135">
    <cfRule type="containsErrors" dxfId="311" priority="722">
      <formula>ISERROR(Q135)</formula>
    </cfRule>
  </conditionalFormatting>
  <conditionalFormatting sqref="M127:N127">
    <cfRule type="containsErrors" dxfId="310" priority="817">
      <formula>ISERROR(M127)</formula>
    </cfRule>
  </conditionalFormatting>
  <conditionalFormatting sqref="M136:N139">
    <cfRule type="containsErrors" dxfId="309" priority="772">
      <formula>ISERROR(M136)</formula>
    </cfRule>
  </conditionalFormatting>
  <conditionalFormatting sqref="Q127">
    <cfRule type="containsErrors" dxfId="308" priority="815">
      <formula>ISERROR(Q127)</formula>
    </cfRule>
  </conditionalFormatting>
  <conditionalFormatting sqref="M159:N159">
    <cfRule type="containsErrors" dxfId="307" priority="797">
      <formula>ISERROR(M159)</formula>
    </cfRule>
  </conditionalFormatting>
  <conditionalFormatting sqref="M160:N160">
    <cfRule type="containsErrors" dxfId="306" priority="793">
      <formula>ISERROR(M160)</formula>
    </cfRule>
  </conditionalFormatting>
  <conditionalFormatting sqref="M112:N112">
    <cfRule type="containsErrors" dxfId="305" priority="727">
      <formula>ISERROR(M112)</formula>
    </cfRule>
  </conditionalFormatting>
  <conditionalFormatting sqref="Q136:Q139">
    <cfRule type="containsErrors" dxfId="304" priority="769">
      <formula>ISERROR(Q136)</formula>
    </cfRule>
  </conditionalFormatting>
  <conditionalFormatting sqref="M140:N140">
    <cfRule type="containsErrors" dxfId="303" priority="767">
      <formula>ISERROR(M140)</formula>
    </cfRule>
  </conditionalFormatting>
  <conditionalFormatting sqref="M43:N43">
    <cfRule type="containsErrors" dxfId="302" priority="751">
      <formula>ISERROR(M43)</formula>
    </cfRule>
  </conditionalFormatting>
  <conditionalFormatting sqref="T38:T42 T98:T106 T108:T111 T118:T126 T128:T134 T44:T46 T113:T116 T22:T36 T19:T20 T48:T65 T68:T88 T90:T96">
    <cfRule type="containsErrors" dxfId="301" priority="653">
      <formula>ISERROR(T19)</formula>
    </cfRule>
  </conditionalFormatting>
  <conditionalFormatting sqref="M66:N66">
    <cfRule type="containsErrors" dxfId="300" priority="747">
      <formula>ISERROR(M66)</formula>
    </cfRule>
  </conditionalFormatting>
  <conditionalFormatting sqref="T97">
    <cfRule type="containsErrors" dxfId="299" priority="649">
      <formula>ISERROR(T97)</formula>
    </cfRule>
  </conditionalFormatting>
  <conditionalFormatting sqref="M87:N88">
    <cfRule type="containsErrors" dxfId="298" priority="743">
      <formula>ISERROR(M87)</formula>
    </cfRule>
  </conditionalFormatting>
  <conditionalFormatting sqref="T140:T144">
    <cfRule type="containsErrors" dxfId="297" priority="643">
      <formula>ISERROR(T140)</formula>
    </cfRule>
  </conditionalFormatting>
  <conditionalFormatting sqref="M64:N65">
    <cfRule type="containsErrors" dxfId="296" priority="737">
      <formula>ISERROR(M64)</formula>
    </cfRule>
  </conditionalFormatting>
  <conditionalFormatting sqref="M89:N89">
    <cfRule type="containsErrors" dxfId="295" priority="731">
      <formula>ISERROR(M89)</formula>
    </cfRule>
  </conditionalFormatting>
  <conditionalFormatting sqref="M135:N135">
    <cfRule type="containsErrors" dxfId="294" priority="723">
      <formula>ISERROR(M135)</formula>
    </cfRule>
  </conditionalFormatting>
  <conditionalFormatting sqref="M143:N144">
    <cfRule type="containsErrors" dxfId="293" priority="719">
      <formula>ISERROR(M143)</formula>
    </cfRule>
  </conditionalFormatting>
  <conditionalFormatting sqref="M151:N151">
    <cfRule type="containsErrors" dxfId="292" priority="711">
      <formula>ISERROR(M151)</formula>
    </cfRule>
  </conditionalFormatting>
  <conditionalFormatting sqref="T43">
    <cfRule type="containsErrors" dxfId="291" priority="642">
      <formula>ISERROR(T43)</formula>
    </cfRule>
  </conditionalFormatting>
  <conditionalFormatting sqref="M157:N157">
    <cfRule type="containsErrors" dxfId="290" priority="707">
      <formula>ISERROR(M157)</formula>
    </cfRule>
  </conditionalFormatting>
  <conditionalFormatting sqref="T163">
    <cfRule type="containsErrors" dxfId="289" priority="636">
      <formula>ISERROR(T163)</formula>
    </cfRule>
  </conditionalFormatting>
  <conditionalFormatting sqref="Q157">
    <cfRule type="containsErrors" dxfId="288" priority="657">
      <formula>ISERROR(Q157)</formula>
    </cfRule>
  </conditionalFormatting>
  <conditionalFormatting sqref="M163:N163">
    <cfRule type="containsErrors" dxfId="287" priority="703">
      <formula>ISERROR(M163)</formula>
    </cfRule>
  </conditionalFormatting>
  <conditionalFormatting sqref="Q163">
    <cfRule type="containsErrors" dxfId="286" priority="702">
      <formula>ISERROR(Q163)</formula>
    </cfRule>
  </conditionalFormatting>
  <conditionalFormatting sqref="W43">
    <cfRule type="containsErrors" dxfId="285" priority="572">
      <formula>ISERROR(W43)</formula>
    </cfRule>
  </conditionalFormatting>
  <conditionalFormatting sqref="W66">
    <cfRule type="containsErrors" dxfId="284" priority="571">
      <formula>ISERROR(W66)</formula>
    </cfRule>
  </conditionalFormatting>
  <conditionalFormatting sqref="W89">
    <cfRule type="containsErrors" dxfId="283" priority="570">
      <formula>ISERROR(W89)</formula>
    </cfRule>
  </conditionalFormatting>
  <conditionalFormatting sqref="W112">
    <cfRule type="containsErrors" dxfId="282" priority="569">
      <formula>ISERROR(W112)</formula>
    </cfRule>
  </conditionalFormatting>
  <conditionalFormatting sqref="W135">
    <cfRule type="containsErrors" dxfId="281" priority="568">
      <formula>ISERROR(W135)</formula>
    </cfRule>
  </conditionalFormatting>
  <conditionalFormatting sqref="Z107">
    <cfRule type="containsErrors" dxfId="280" priority="556">
      <formula>ISERROR(Z107)</formula>
    </cfRule>
  </conditionalFormatting>
  <conditionalFormatting sqref="Z89">
    <cfRule type="containsErrors" dxfId="279" priority="548">
      <formula>ISERROR(Z89)</formula>
    </cfRule>
  </conditionalFormatting>
  <conditionalFormatting sqref="Z112">
    <cfRule type="containsErrors" dxfId="278" priority="547">
      <formula>ISERROR(Z112)</formula>
    </cfRule>
  </conditionalFormatting>
  <conditionalFormatting sqref="Z135">
    <cfRule type="containsErrors" dxfId="277" priority="546">
      <formula>ISERROR(Z135)</formula>
    </cfRule>
  </conditionalFormatting>
  <conditionalFormatting sqref="Z38:Z42 Z98:Z106 Z108:Z111 Z118:Z126 Z128:Z134 Z44:Z46 Z113:Z116 Z22:Z36 Z19:Z20 Z48:Z65 Z68:Z88 Z90:Z96">
    <cfRule type="containsErrors" dxfId="276" priority="561">
      <formula>ISERROR(Z19)</formula>
    </cfRule>
  </conditionalFormatting>
  <conditionalFormatting sqref="Z37">
    <cfRule type="containsErrors" dxfId="275" priority="560">
      <formula>ISERROR(Z37)</formula>
    </cfRule>
  </conditionalFormatting>
  <conditionalFormatting sqref="Z47">
    <cfRule type="containsErrors" dxfId="274" priority="559">
      <formula>ISERROR(Z47)</formula>
    </cfRule>
  </conditionalFormatting>
  <conditionalFormatting sqref="Z67">
    <cfRule type="containsErrors" dxfId="273" priority="558">
      <formula>ISERROR(Z67)</formula>
    </cfRule>
  </conditionalFormatting>
  <conditionalFormatting sqref="Z97">
    <cfRule type="containsErrors" dxfId="272" priority="557">
      <formula>ISERROR(Z97)</formula>
    </cfRule>
  </conditionalFormatting>
  <conditionalFormatting sqref="Z117">
    <cfRule type="containsErrors" dxfId="271" priority="555">
      <formula>ISERROR(Z117)</formula>
    </cfRule>
  </conditionalFormatting>
  <conditionalFormatting sqref="Z127">
    <cfRule type="containsErrors" dxfId="270" priority="554">
      <formula>ISERROR(Z127)</formula>
    </cfRule>
  </conditionalFormatting>
  <conditionalFormatting sqref="Z136:Z139">
    <cfRule type="containsErrors" dxfId="269" priority="552">
      <formula>ISERROR(Z136)</formula>
    </cfRule>
  </conditionalFormatting>
  <conditionalFormatting sqref="Z140:Z144">
    <cfRule type="containsErrors" dxfId="268" priority="551">
      <formula>ISERROR(Z140)</formula>
    </cfRule>
  </conditionalFormatting>
  <conditionalFormatting sqref="Z43">
    <cfRule type="containsErrors" dxfId="267" priority="550">
      <formula>ISERROR(Z43)</formula>
    </cfRule>
  </conditionalFormatting>
  <conditionalFormatting sqref="Z66">
    <cfRule type="containsErrors" dxfId="266" priority="549">
      <formula>ISERROR(Z66)</formula>
    </cfRule>
  </conditionalFormatting>
  <conditionalFormatting sqref="AC43">
    <cfRule type="containsErrors" dxfId="265" priority="524">
      <formula>ISERROR(AC43)</formula>
    </cfRule>
  </conditionalFormatting>
  <conditionalFormatting sqref="Q151">
    <cfRule type="containsErrors" dxfId="264" priority="656">
      <formula>ISERROR(Q151)</formula>
    </cfRule>
  </conditionalFormatting>
  <conditionalFormatting sqref="T127">
    <cfRule type="containsErrors" dxfId="263" priority="646">
      <formula>ISERROR(T127)</formula>
    </cfRule>
  </conditionalFormatting>
  <conditionalFormatting sqref="T37">
    <cfRule type="containsErrors" dxfId="262" priority="652">
      <formula>ISERROR(T37)</formula>
    </cfRule>
  </conditionalFormatting>
  <conditionalFormatting sqref="T47">
    <cfRule type="containsErrors" dxfId="261" priority="651">
      <formula>ISERROR(T47)</formula>
    </cfRule>
  </conditionalFormatting>
  <conditionalFormatting sqref="T67">
    <cfRule type="containsErrors" dxfId="260" priority="650">
      <formula>ISERROR(T67)</formula>
    </cfRule>
  </conditionalFormatting>
  <conditionalFormatting sqref="T107">
    <cfRule type="containsErrors" dxfId="259" priority="648">
      <formula>ISERROR(T107)</formula>
    </cfRule>
  </conditionalFormatting>
  <conditionalFormatting sqref="T117">
    <cfRule type="containsErrors" dxfId="258" priority="647">
      <formula>ISERROR(T117)</formula>
    </cfRule>
  </conditionalFormatting>
  <conditionalFormatting sqref="T136:T139">
    <cfRule type="containsErrors" dxfId="257" priority="644">
      <formula>ISERROR(T136)</formula>
    </cfRule>
  </conditionalFormatting>
  <conditionalFormatting sqref="T135">
    <cfRule type="containsErrors" dxfId="256" priority="638">
      <formula>ISERROR(T135)</formula>
    </cfRule>
  </conditionalFormatting>
  <conditionalFormatting sqref="T66">
    <cfRule type="containsErrors" dxfId="255" priority="641">
      <formula>ISERROR(T66)</formula>
    </cfRule>
  </conditionalFormatting>
  <conditionalFormatting sqref="T89">
    <cfRule type="containsErrors" dxfId="254" priority="640">
      <formula>ISERROR(T89)</formula>
    </cfRule>
  </conditionalFormatting>
  <conditionalFormatting sqref="T112">
    <cfRule type="containsErrors" dxfId="253" priority="639">
      <formula>ISERROR(T112)</formula>
    </cfRule>
  </conditionalFormatting>
  <conditionalFormatting sqref="W38:W42 W98:W106 W108:W111 W118:W126 W128:W134 W44:W46 W113:W116 W22:W36 W18:W20 Z18 W48:W65 W68:W88 W90:W96">
    <cfRule type="containsErrors" dxfId="252" priority="584">
      <formula>ISERROR(W18)</formula>
    </cfRule>
  </conditionalFormatting>
  <conditionalFormatting sqref="T157">
    <cfRule type="containsErrors" dxfId="251" priority="635">
      <formula>ISERROR(T157)</formula>
    </cfRule>
  </conditionalFormatting>
  <conditionalFormatting sqref="T151">
    <cfRule type="containsErrors" dxfId="250" priority="634">
      <formula>ISERROR(T151)</formula>
    </cfRule>
  </conditionalFormatting>
  <conditionalFormatting sqref="W37">
    <cfRule type="containsErrors" dxfId="249" priority="583">
      <formula>ISERROR(W37)</formula>
    </cfRule>
  </conditionalFormatting>
  <conditionalFormatting sqref="W47">
    <cfRule type="containsErrors" dxfId="248" priority="582">
      <formula>ISERROR(W47)</formula>
    </cfRule>
  </conditionalFormatting>
  <conditionalFormatting sqref="W67">
    <cfRule type="containsErrors" dxfId="247" priority="581">
      <formula>ISERROR(W67)</formula>
    </cfRule>
  </conditionalFormatting>
  <conditionalFormatting sqref="W97">
    <cfRule type="containsErrors" dxfId="246" priority="580">
      <formula>ISERROR(W97)</formula>
    </cfRule>
  </conditionalFormatting>
  <conditionalFormatting sqref="W107">
    <cfRule type="containsErrors" dxfId="245" priority="579">
      <formula>ISERROR(W107)</formula>
    </cfRule>
  </conditionalFormatting>
  <conditionalFormatting sqref="W117">
    <cfRule type="containsErrors" dxfId="244" priority="578">
      <formula>ISERROR(W117)</formula>
    </cfRule>
  </conditionalFormatting>
  <conditionalFormatting sqref="W127">
    <cfRule type="containsErrors" dxfId="243" priority="577">
      <formula>ISERROR(W127)</formula>
    </cfRule>
  </conditionalFormatting>
  <conditionalFormatting sqref="W136:W139">
    <cfRule type="containsErrors" dxfId="242" priority="575">
      <formula>ISERROR(W136)</formula>
    </cfRule>
  </conditionalFormatting>
  <conditionalFormatting sqref="W140:W144">
    <cfRule type="containsErrors" dxfId="241" priority="574">
      <formula>ISERROR(W140)</formula>
    </cfRule>
  </conditionalFormatting>
  <conditionalFormatting sqref="AC140:AC144">
    <cfRule type="containsErrors" dxfId="240" priority="526">
      <formula>ISERROR(AC140)</formula>
    </cfRule>
  </conditionalFormatting>
  <conditionalFormatting sqref="AC67">
    <cfRule type="containsErrors" dxfId="239" priority="533">
      <formula>ISERROR(AC67)</formula>
    </cfRule>
  </conditionalFormatting>
  <conditionalFormatting sqref="AC66">
    <cfRule type="containsErrors" dxfId="238" priority="523">
      <formula>ISERROR(AC66)</formula>
    </cfRule>
  </conditionalFormatting>
  <conditionalFormatting sqref="AC89">
    <cfRule type="containsErrors" dxfId="237" priority="522">
      <formula>ISERROR(AC89)</formula>
    </cfRule>
  </conditionalFormatting>
  <conditionalFormatting sqref="AC112">
    <cfRule type="containsErrors" dxfId="236" priority="521">
      <formula>ISERROR(AC112)</formula>
    </cfRule>
  </conditionalFormatting>
  <conditionalFormatting sqref="AC135">
    <cfRule type="containsErrors" dxfId="235" priority="520">
      <formula>ISERROR(AC135)</formula>
    </cfRule>
  </conditionalFormatting>
  <conditionalFormatting sqref="AF67">
    <cfRule type="containsErrors" dxfId="234" priority="510">
      <formula>ISERROR(AF67)</formula>
    </cfRule>
  </conditionalFormatting>
  <conditionalFormatting sqref="AF127">
    <cfRule type="containsErrors" dxfId="233" priority="506">
      <formula>ISERROR(AF127)</formula>
    </cfRule>
  </conditionalFormatting>
  <conditionalFormatting sqref="AF136:AF139">
    <cfRule type="containsErrors" dxfId="232" priority="504">
      <formula>ISERROR(AF136)</formula>
    </cfRule>
  </conditionalFormatting>
  <conditionalFormatting sqref="AF38:AF42 AF98:AF106 AF108:AF111 AF118:AF126 AF128:AF134 AF44:AF46 AF113:AF116 AF22:AF36 AF19:AF20 AF48:AF65 AF68:AF88 AF90:AF96">
    <cfRule type="containsErrors" dxfId="231" priority="513">
      <formula>ISERROR(AF19)</formula>
    </cfRule>
  </conditionalFormatting>
  <conditionalFormatting sqref="AF37">
    <cfRule type="containsErrors" dxfId="230" priority="512">
      <formula>ISERROR(AF37)</formula>
    </cfRule>
  </conditionalFormatting>
  <conditionalFormatting sqref="AF47">
    <cfRule type="containsErrors" dxfId="229" priority="511">
      <formula>ISERROR(AF47)</formula>
    </cfRule>
  </conditionalFormatting>
  <conditionalFormatting sqref="AF97">
    <cfRule type="containsErrors" dxfId="228" priority="509">
      <formula>ISERROR(AF97)</formula>
    </cfRule>
  </conditionalFormatting>
  <conditionalFormatting sqref="AF107">
    <cfRule type="containsErrors" dxfId="227" priority="508">
      <formula>ISERROR(AF107)</formula>
    </cfRule>
  </conditionalFormatting>
  <conditionalFormatting sqref="AF117">
    <cfRule type="containsErrors" dxfId="226" priority="507">
      <formula>ISERROR(AF117)</formula>
    </cfRule>
  </conditionalFormatting>
  <conditionalFormatting sqref="AF140:AF144">
    <cfRule type="containsErrors" dxfId="225" priority="503">
      <formula>ISERROR(AF140)</formula>
    </cfRule>
  </conditionalFormatting>
  <conditionalFormatting sqref="AF43">
    <cfRule type="containsErrors" dxfId="224" priority="502">
      <formula>ISERROR(AF43)</formula>
    </cfRule>
  </conditionalFormatting>
  <conditionalFormatting sqref="AF66">
    <cfRule type="containsErrors" dxfId="223" priority="501">
      <formula>ISERROR(AF66)</formula>
    </cfRule>
  </conditionalFormatting>
  <conditionalFormatting sqref="AF89">
    <cfRule type="containsErrors" dxfId="222" priority="500">
      <formula>ISERROR(AF89)</formula>
    </cfRule>
  </conditionalFormatting>
  <conditionalFormatting sqref="AF112">
    <cfRule type="containsErrors" dxfId="221" priority="499">
      <formula>ISERROR(AF112)</formula>
    </cfRule>
  </conditionalFormatting>
  <conditionalFormatting sqref="AF135">
    <cfRule type="containsErrors" dxfId="220" priority="498">
      <formula>ISERROR(AF135)</formula>
    </cfRule>
  </conditionalFormatting>
  <conditionalFormatting sqref="AI117">
    <cfRule type="containsErrors" dxfId="219" priority="482">
      <formula>ISERROR(AI117)</formula>
    </cfRule>
  </conditionalFormatting>
  <conditionalFormatting sqref="AC38:AC42 AC98:AC106 AC108:AC111 AC118:AC126 AC128:AC134 AC44:AC46 AC113:AC116 AC22:AC36 AC18:AC20 AF18 AC48:AC65 AC68:AC88 AC90:AC96">
    <cfRule type="containsErrors" dxfId="218" priority="536">
      <formula>ISERROR(AC18)</formula>
    </cfRule>
  </conditionalFormatting>
  <conditionalFormatting sqref="AC37">
    <cfRule type="containsErrors" dxfId="217" priority="535">
      <formula>ISERROR(AC37)</formula>
    </cfRule>
  </conditionalFormatting>
  <conditionalFormatting sqref="AC47">
    <cfRule type="containsErrors" dxfId="216" priority="534">
      <formula>ISERROR(AC47)</formula>
    </cfRule>
  </conditionalFormatting>
  <conditionalFormatting sqref="AC97">
    <cfRule type="containsErrors" dxfId="215" priority="532">
      <formula>ISERROR(AC97)</formula>
    </cfRule>
  </conditionalFormatting>
  <conditionalFormatting sqref="AC107">
    <cfRule type="containsErrors" dxfId="214" priority="531">
      <formula>ISERROR(AC107)</formula>
    </cfRule>
  </conditionalFormatting>
  <conditionalFormatting sqref="AC117">
    <cfRule type="containsErrors" dxfId="213" priority="530">
      <formula>ISERROR(AC117)</formula>
    </cfRule>
  </conditionalFormatting>
  <conditionalFormatting sqref="AC127">
    <cfRule type="containsErrors" dxfId="212" priority="529">
      <formula>ISERROR(AC127)</formula>
    </cfRule>
  </conditionalFormatting>
  <conditionalFormatting sqref="AC136:AC139">
    <cfRule type="containsErrors" dxfId="211" priority="527">
      <formula>ISERROR(AC136)</formula>
    </cfRule>
  </conditionalFormatting>
  <conditionalFormatting sqref="AI97">
    <cfRule type="containsErrors" dxfId="210" priority="484">
      <formula>ISERROR(AI97)</formula>
    </cfRule>
  </conditionalFormatting>
  <conditionalFormatting sqref="AI107">
    <cfRule type="containsErrors" dxfId="209" priority="483">
      <formula>ISERROR(AI107)</formula>
    </cfRule>
  </conditionalFormatting>
  <conditionalFormatting sqref="AI37">
    <cfRule type="containsErrors" dxfId="208" priority="487">
      <formula>ISERROR(AI37)</formula>
    </cfRule>
  </conditionalFormatting>
  <conditionalFormatting sqref="AI43">
    <cfRule type="containsErrors" dxfId="207" priority="476">
      <formula>ISERROR(AI43)</formula>
    </cfRule>
  </conditionalFormatting>
  <conditionalFormatting sqref="AI66">
    <cfRule type="containsErrors" dxfId="206" priority="475">
      <formula>ISERROR(AI66)</formula>
    </cfRule>
  </conditionalFormatting>
  <conditionalFormatting sqref="AI89">
    <cfRule type="containsErrors" dxfId="205" priority="474">
      <formula>ISERROR(AI89)</formula>
    </cfRule>
  </conditionalFormatting>
  <conditionalFormatting sqref="AI112">
    <cfRule type="containsErrors" dxfId="204" priority="473">
      <formula>ISERROR(AI112)</formula>
    </cfRule>
  </conditionalFormatting>
  <conditionalFormatting sqref="AI135">
    <cfRule type="containsErrors" dxfId="203" priority="472">
      <formula>ISERROR(AI135)</formula>
    </cfRule>
  </conditionalFormatting>
  <conditionalFormatting sqref="AL37">
    <cfRule type="containsErrors" dxfId="202" priority="464">
      <formula>ISERROR(AL37)</formula>
    </cfRule>
  </conditionalFormatting>
  <conditionalFormatting sqref="AL47">
    <cfRule type="containsErrors" dxfId="201" priority="463">
      <formula>ISERROR(AL47)</formula>
    </cfRule>
  </conditionalFormatting>
  <conditionalFormatting sqref="AL67">
    <cfRule type="containsErrors" dxfId="200" priority="462">
      <formula>ISERROR(AL67)</formula>
    </cfRule>
  </conditionalFormatting>
  <conditionalFormatting sqref="AL38:AL42 AL98:AL106 AL108:AL111 AL118:AL126 AL128:AL134 AL44:AL46 AL113:AL116 AL22:AL36 AL19:AL20 AL48:AL65 AL68:AL88 AL90:AL96">
    <cfRule type="containsErrors" dxfId="199" priority="465">
      <formula>ISERROR(AL19)</formula>
    </cfRule>
  </conditionalFormatting>
  <conditionalFormatting sqref="AL97">
    <cfRule type="containsErrors" dxfId="198" priority="461">
      <formula>ISERROR(AL97)</formula>
    </cfRule>
  </conditionalFormatting>
  <conditionalFormatting sqref="AL107">
    <cfRule type="containsErrors" dxfId="197" priority="460">
      <formula>ISERROR(AL107)</formula>
    </cfRule>
  </conditionalFormatting>
  <conditionalFormatting sqref="AL117">
    <cfRule type="containsErrors" dxfId="196" priority="459">
      <formula>ISERROR(AL117)</formula>
    </cfRule>
  </conditionalFormatting>
  <conditionalFormatting sqref="AL127">
    <cfRule type="containsErrors" dxfId="195" priority="458">
      <formula>ISERROR(AL127)</formula>
    </cfRule>
  </conditionalFormatting>
  <conditionalFormatting sqref="AL136:AL139">
    <cfRule type="containsErrors" dxfId="194" priority="456">
      <formula>ISERROR(AL136)</formula>
    </cfRule>
  </conditionalFormatting>
  <conditionalFormatting sqref="AL140:AL144">
    <cfRule type="containsErrors" dxfId="193" priority="455">
      <formula>ISERROR(AL140)</formula>
    </cfRule>
  </conditionalFormatting>
  <conditionalFormatting sqref="AL43">
    <cfRule type="containsErrors" dxfId="192" priority="454">
      <formula>ISERROR(AL43)</formula>
    </cfRule>
  </conditionalFormatting>
  <conditionalFormatting sqref="AL66">
    <cfRule type="containsErrors" dxfId="191" priority="453">
      <formula>ISERROR(AL66)</formula>
    </cfRule>
  </conditionalFormatting>
  <conditionalFormatting sqref="AL89">
    <cfRule type="containsErrors" dxfId="190" priority="452">
      <formula>ISERROR(AL89)</formula>
    </cfRule>
  </conditionalFormatting>
  <conditionalFormatting sqref="AL112">
    <cfRule type="containsErrors" dxfId="189" priority="451">
      <formula>ISERROR(AL112)</formula>
    </cfRule>
  </conditionalFormatting>
  <conditionalFormatting sqref="AL135">
    <cfRule type="containsErrors" dxfId="188" priority="450">
      <formula>ISERROR(AL135)</formula>
    </cfRule>
  </conditionalFormatting>
  <conditionalFormatting sqref="W163">
    <cfRule type="containsErrors" dxfId="187" priority="440">
      <formula>ISERROR(W163)</formula>
    </cfRule>
  </conditionalFormatting>
  <conditionalFormatting sqref="AI38:AI42 AI98:AI106 AI108:AI111 AI118:AI126 AI128:AI134 AI44:AI46 AI113:AI116 AI22:AI36 AI18:AI20 AL18 AI48:AI65 AI68:AI88 AI90:AI96">
    <cfRule type="containsErrors" dxfId="186" priority="488">
      <formula>ISERROR(AI18)</formula>
    </cfRule>
  </conditionalFormatting>
  <conditionalFormatting sqref="AI47">
    <cfRule type="containsErrors" dxfId="185" priority="486">
      <formula>ISERROR(AI47)</formula>
    </cfRule>
  </conditionalFormatting>
  <conditionalFormatting sqref="AI67">
    <cfRule type="containsErrors" dxfId="184" priority="485">
      <formula>ISERROR(AI67)</formula>
    </cfRule>
  </conditionalFormatting>
  <conditionalFormatting sqref="AI127">
    <cfRule type="containsErrors" dxfId="183" priority="481">
      <formula>ISERROR(AI127)</formula>
    </cfRule>
  </conditionalFormatting>
  <conditionalFormatting sqref="AI136:AI139">
    <cfRule type="containsErrors" dxfId="182" priority="479">
      <formula>ISERROR(AI136)</formula>
    </cfRule>
  </conditionalFormatting>
  <conditionalFormatting sqref="AI140:AI144">
    <cfRule type="containsErrors" dxfId="181" priority="478">
      <formula>ISERROR(AI140)</formula>
    </cfRule>
  </conditionalFormatting>
  <conditionalFormatting sqref="AI151">
    <cfRule type="containsErrors" dxfId="180" priority="426">
      <formula>ISERROR(AI151)</formula>
    </cfRule>
  </conditionalFormatting>
  <conditionalFormatting sqref="Z163">
    <cfRule type="containsErrors" dxfId="179" priority="437">
      <formula>ISERROR(Z163)</formula>
    </cfRule>
  </conditionalFormatting>
  <conditionalFormatting sqref="W157">
    <cfRule type="containsErrors" dxfId="178" priority="439">
      <formula>ISERROR(W157)</formula>
    </cfRule>
  </conditionalFormatting>
  <conditionalFormatting sqref="W151">
    <cfRule type="containsErrors" dxfId="177" priority="438">
      <formula>ISERROR(W151)</formula>
    </cfRule>
  </conditionalFormatting>
  <conditionalFormatting sqref="Z157">
    <cfRule type="containsErrors" dxfId="176" priority="436">
      <formula>ISERROR(Z157)</formula>
    </cfRule>
  </conditionalFormatting>
  <conditionalFormatting sqref="Z151">
    <cfRule type="containsErrors" dxfId="175" priority="435">
      <formula>ISERROR(Z151)</formula>
    </cfRule>
  </conditionalFormatting>
  <conditionalFormatting sqref="AF163">
    <cfRule type="containsErrors" dxfId="174" priority="431">
      <formula>ISERROR(AF163)</formula>
    </cfRule>
  </conditionalFormatting>
  <conditionalFormatting sqref="AC157">
    <cfRule type="containsErrors" dxfId="173" priority="433">
      <formula>ISERROR(AC157)</formula>
    </cfRule>
  </conditionalFormatting>
  <conditionalFormatting sqref="AC163">
    <cfRule type="containsErrors" dxfId="172" priority="434">
      <formula>ISERROR(AC163)</formula>
    </cfRule>
  </conditionalFormatting>
  <conditionalFormatting sqref="AC151">
    <cfRule type="containsErrors" dxfId="171" priority="432">
      <formula>ISERROR(AC151)</formula>
    </cfRule>
  </conditionalFormatting>
  <conditionalFormatting sqref="AF157">
    <cfRule type="containsErrors" dxfId="170" priority="430">
      <formula>ISERROR(AF157)</formula>
    </cfRule>
  </conditionalFormatting>
  <conditionalFormatting sqref="AF151">
    <cfRule type="containsErrors" dxfId="169" priority="429">
      <formula>ISERROR(AF151)</formula>
    </cfRule>
  </conditionalFormatting>
  <conditionalFormatting sqref="AL163">
    <cfRule type="containsErrors" dxfId="168" priority="425">
      <formula>ISERROR(AL163)</formula>
    </cfRule>
  </conditionalFormatting>
  <conditionalFormatting sqref="AI157">
    <cfRule type="containsErrors" dxfId="167" priority="427">
      <formula>ISERROR(AI157)</formula>
    </cfRule>
  </conditionalFormatting>
  <conditionalFormatting sqref="AI163">
    <cfRule type="containsErrors" dxfId="166" priority="428">
      <formula>ISERROR(AI163)</formula>
    </cfRule>
  </conditionalFormatting>
  <conditionalFormatting sqref="AL157">
    <cfRule type="containsErrors" dxfId="165" priority="424">
      <formula>ISERROR(AL157)</formula>
    </cfRule>
  </conditionalFormatting>
  <conditionalFormatting sqref="AL151">
    <cfRule type="containsErrors" dxfId="164" priority="423">
      <formula>ISERROR(AL151)</formula>
    </cfRule>
  </conditionalFormatting>
  <conditionalFormatting sqref="M146:N150">
    <cfRule type="containsErrors" dxfId="163" priority="359">
      <formula>ISERROR(M146)</formula>
    </cfRule>
  </conditionalFormatting>
  <conditionalFormatting sqref="M145:N145">
    <cfRule type="containsErrors" dxfId="162" priority="358">
      <formula>ISERROR(M145)</formula>
    </cfRule>
  </conditionalFormatting>
  <conditionalFormatting sqref="Q145">
    <cfRule type="containsErrors" dxfId="161" priority="357">
      <formula>ISERROR(Q145)</formula>
    </cfRule>
  </conditionalFormatting>
  <conditionalFormatting sqref="T145">
    <cfRule type="containsErrors" dxfId="160" priority="356">
      <formula>ISERROR(T145)</formula>
    </cfRule>
  </conditionalFormatting>
  <conditionalFormatting sqref="AI145">
    <cfRule type="containsErrors" dxfId="159" priority="351">
      <formula>ISERROR(AI145)</formula>
    </cfRule>
  </conditionalFormatting>
  <conditionalFormatting sqref="W145">
    <cfRule type="containsErrors" dxfId="158" priority="355">
      <formula>ISERROR(W145)</formula>
    </cfRule>
  </conditionalFormatting>
  <conditionalFormatting sqref="Z145">
    <cfRule type="containsErrors" dxfId="157" priority="354">
      <formula>ISERROR(Z145)</formula>
    </cfRule>
  </conditionalFormatting>
  <conditionalFormatting sqref="AC145">
    <cfRule type="containsErrors" dxfId="156" priority="353">
      <formula>ISERROR(AC145)</formula>
    </cfRule>
  </conditionalFormatting>
  <conditionalFormatting sqref="AF145">
    <cfRule type="containsErrors" dxfId="155" priority="352">
      <formula>ISERROR(AF145)</formula>
    </cfRule>
  </conditionalFormatting>
  <conditionalFormatting sqref="AL145">
    <cfRule type="containsErrors" dxfId="154" priority="350">
      <formula>ISERROR(AL145)</formula>
    </cfRule>
  </conditionalFormatting>
  <conditionalFormatting sqref="H19:H168">
    <cfRule type="containsText" dxfId="153" priority="348" operator="containsText" text="Null (Subtotal">
      <formula>NOT(ISERROR(SEARCH("Null (Subtotal",H19)))</formula>
    </cfRule>
  </conditionalFormatting>
  <conditionalFormatting sqref="H19:H168">
    <cfRule type="notContainsText" dxfId="152" priority="347" operator="notContains" text="Null">
      <formula>ISERROR(SEARCH("Null",H19))</formula>
    </cfRule>
    <cfRule type="containsText" dxfId="151" priority="349" operator="containsText" text="None">
      <formula>NOT(ISERROR(SEARCH("None",H19)))</formula>
    </cfRule>
  </conditionalFormatting>
  <conditionalFormatting sqref="AO97">
    <cfRule type="containsErrors" dxfId="150" priority="333">
      <formula>ISERROR(AO97)</formula>
    </cfRule>
  </conditionalFormatting>
  <conditionalFormatting sqref="AO140:AO144">
    <cfRule type="containsErrors" dxfId="149" priority="328">
      <formula>ISERROR(AO140)</formula>
    </cfRule>
  </conditionalFormatting>
  <conditionalFormatting sqref="AO117">
    <cfRule type="containsErrors" dxfId="148" priority="331">
      <formula>ISERROR(AO117)</formula>
    </cfRule>
  </conditionalFormatting>
  <conditionalFormatting sqref="AO107">
    <cfRule type="containsErrors" dxfId="147" priority="332">
      <formula>ISERROR(AO107)</formula>
    </cfRule>
  </conditionalFormatting>
  <conditionalFormatting sqref="AO37">
    <cfRule type="containsErrors" dxfId="146" priority="336">
      <formula>ISERROR(AO37)</formula>
    </cfRule>
  </conditionalFormatting>
  <conditionalFormatting sqref="AO43">
    <cfRule type="containsErrors" dxfId="145" priority="327">
      <formula>ISERROR(AO43)</formula>
    </cfRule>
  </conditionalFormatting>
  <conditionalFormatting sqref="AO66">
    <cfRule type="containsErrors" dxfId="144" priority="326">
      <formula>ISERROR(AO66)</formula>
    </cfRule>
  </conditionalFormatting>
  <conditionalFormatting sqref="AO89">
    <cfRule type="containsErrors" dxfId="143" priority="325">
      <formula>ISERROR(AO89)</formula>
    </cfRule>
  </conditionalFormatting>
  <conditionalFormatting sqref="AO112">
    <cfRule type="containsErrors" dxfId="142" priority="324">
      <formula>ISERROR(AO112)</formula>
    </cfRule>
  </conditionalFormatting>
  <conditionalFormatting sqref="AO135">
    <cfRule type="containsErrors" dxfId="141" priority="323">
      <formula>ISERROR(AO135)</formula>
    </cfRule>
  </conditionalFormatting>
  <conditionalFormatting sqref="AR37">
    <cfRule type="containsErrors" dxfId="140" priority="321">
      <formula>ISERROR(AR37)</formula>
    </cfRule>
  </conditionalFormatting>
  <conditionalFormatting sqref="AR47">
    <cfRule type="containsErrors" dxfId="139" priority="320">
      <formula>ISERROR(AR47)</formula>
    </cfRule>
  </conditionalFormatting>
  <conditionalFormatting sqref="AR67">
    <cfRule type="containsErrors" dxfId="138" priority="319">
      <formula>ISERROR(AR67)</formula>
    </cfRule>
  </conditionalFormatting>
  <conditionalFormatting sqref="AR38:AR42 AR98:AR106 AR108:AR111 AR118:AR126 AR128:AR134 AR44:AR46 AR113:AR116 AR22:AR36 AR19:AR20 AR48:AR65 AR68:AR88 AR90:AR96">
    <cfRule type="containsErrors" dxfId="137" priority="322">
      <formula>ISERROR(AR19)</formula>
    </cfRule>
  </conditionalFormatting>
  <conditionalFormatting sqref="AR97">
    <cfRule type="containsErrors" dxfId="136" priority="318">
      <formula>ISERROR(AR97)</formula>
    </cfRule>
  </conditionalFormatting>
  <conditionalFormatting sqref="AR107">
    <cfRule type="containsErrors" dxfId="135" priority="317">
      <formula>ISERROR(AR107)</formula>
    </cfRule>
  </conditionalFormatting>
  <conditionalFormatting sqref="AR117">
    <cfRule type="containsErrors" dxfId="134" priority="316">
      <formula>ISERROR(AR117)</formula>
    </cfRule>
  </conditionalFormatting>
  <conditionalFormatting sqref="AR127">
    <cfRule type="containsErrors" dxfId="133" priority="315">
      <formula>ISERROR(AR127)</formula>
    </cfRule>
  </conditionalFormatting>
  <conditionalFormatting sqref="AR136:AR139">
    <cfRule type="containsErrors" dxfId="132" priority="314">
      <formula>ISERROR(AR136)</formula>
    </cfRule>
  </conditionalFormatting>
  <conditionalFormatting sqref="AR140:AR144">
    <cfRule type="containsErrors" dxfId="131" priority="313">
      <formula>ISERROR(AR140)</formula>
    </cfRule>
  </conditionalFormatting>
  <conditionalFormatting sqref="AR43">
    <cfRule type="containsErrors" dxfId="130" priority="312">
      <formula>ISERROR(AR43)</formula>
    </cfRule>
  </conditionalFormatting>
  <conditionalFormatting sqref="AR66">
    <cfRule type="containsErrors" dxfId="129" priority="311">
      <formula>ISERROR(AR66)</formula>
    </cfRule>
  </conditionalFormatting>
  <conditionalFormatting sqref="AR89">
    <cfRule type="containsErrors" dxfId="128" priority="310">
      <formula>ISERROR(AR89)</formula>
    </cfRule>
  </conditionalFormatting>
  <conditionalFormatting sqref="AR112">
    <cfRule type="containsErrors" dxfId="127" priority="309">
      <formula>ISERROR(AR112)</formula>
    </cfRule>
  </conditionalFormatting>
  <conditionalFormatting sqref="AR135">
    <cfRule type="containsErrors" dxfId="126" priority="308">
      <formula>ISERROR(AR135)</formula>
    </cfRule>
  </conditionalFormatting>
  <conditionalFormatting sqref="AO38:AO42 AO98:AO106 AO108:AO111 AO118:AO126 AO128:AO134 AO44:AO46 AO113:AO116 AO22:AO36 AO18:AO20 AR18 AO48:AO65 AO68:AO88 AO90:AO96">
    <cfRule type="containsErrors" dxfId="125" priority="337">
      <formula>ISERROR(AO18)</formula>
    </cfRule>
  </conditionalFormatting>
  <conditionalFormatting sqref="AO47">
    <cfRule type="containsErrors" dxfId="124" priority="335">
      <formula>ISERROR(AO47)</formula>
    </cfRule>
  </conditionalFormatting>
  <conditionalFormatting sqref="AO67">
    <cfRule type="containsErrors" dxfId="123" priority="334">
      <formula>ISERROR(AO67)</formula>
    </cfRule>
  </conditionalFormatting>
  <conditionalFormatting sqref="AO127">
    <cfRule type="containsErrors" dxfId="122" priority="330">
      <formula>ISERROR(AO127)</formula>
    </cfRule>
  </conditionalFormatting>
  <conditionalFormatting sqref="AO136:AO139">
    <cfRule type="containsErrors" dxfId="121" priority="329">
      <formula>ISERROR(AO136)</formula>
    </cfRule>
  </conditionalFormatting>
  <conditionalFormatting sqref="AO151">
    <cfRule type="containsErrors" dxfId="120" priority="305">
      <formula>ISERROR(AO151)</formula>
    </cfRule>
  </conditionalFormatting>
  <conditionalFormatting sqref="AR163">
    <cfRule type="containsErrors" dxfId="119" priority="304">
      <formula>ISERROR(AR163)</formula>
    </cfRule>
  </conditionalFormatting>
  <conditionalFormatting sqref="AO157">
    <cfRule type="containsErrors" dxfId="118" priority="306">
      <formula>ISERROR(AO157)</formula>
    </cfRule>
  </conditionalFormatting>
  <conditionalFormatting sqref="AO163">
    <cfRule type="containsErrors" dxfId="117" priority="307">
      <formula>ISERROR(AO163)</formula>
    </cfRule>
  </conditionalFormatting>
  <conditionalFormatting sqref="AR157">
    <cfRule type="containsErrors" dxfId="116" priority="303">
      <formula>ISERROR(AR157)</formula>
    </cfRule>
  </conditionalFormatting>
  <conditionalFormatting sqref="AR151">
    <cfRule type="containsErrors" dxfId="115" priority="302">
      <formula>ISERROR(AR151)</formula>
    </cfRule>
  </conditionalFormatting>
  <conditionalFormatting sqref="AO145">
    <cfRule type="containsErrors" dxfId="114" priority="301">
      <formula>ISERROR(AO145)</formula>
    </cfRule>
  </conditionalFormatting>
  <conditionalFormatting sqref="AR145">
    <cfRule type="containsErrors" dxfId="113" priority="300">
      <formula>ISERROR(AR145)</formula>
    </cfRule>
  </conditionalFormatting>
  <conditionalFormatting sqref="M2:N2">
    <cfRule type="containsErrors" dxfId="112" priority="97">
      <formula>ISERROR(M2)</formula>
    </cfRule>
  </conditionalFormatting>
  <conditionalFormatting sqref="Q14">
    <cfRule type="containsErrors" dxfId="111" priority="95">
      <formula>ISERROR(Q14)</formula>
    </cfRule>
  </conditionalFormatting>
  <conditionalFormatting sqref="Q13">
    <cfRule type="containsErrors" dxfId="110" priority="94">
      <formula>ISERROR(Q13)</formula>
    </cfRule>
  </conditionalFormatting>
  <conditionalFormatting sqref="Q12">
    <cfRule type="containsErrors" dxfId="109" priority="93">
      <formula>ISERROR(Q12)</formula>
    </cfRule>
  </conditionalFormatting>
  <conditionalFormatting sqref="Q9">
    <cfRule type="containsErrors" dxfId="108" priority="92">
      <formula>ISERROR(Q9)</formula>
    </cfRule>
  </conditionalFormatting>
  <conditionalFormatting sqref="Q10:Q11">
    <cfRule type="containsErrors" dxfId="107" priority="96">
      <formula>ISERROR(Q10)</formula>
    </cfRule>
  </conditionalFormatting>
  <conditionalFormatting sqref="Q4:Q6">
    <cfRule type="containsErrors" dxfId="106" priority="91">
      <formula>ISERROR(Q4)</formula>
    </cfRule>
  </conditionalFormatting>
  <conditionalFormatting sqref="Q7">
    <cfRule type="containsErrors" dxfId="105" priority="90">
      <formula>ISERROR(Q7)</formula>
    </cfRule>
  </conditionalFormatting>
  <conditionalFormatting sqref="Q8">
    <cfRule type="containsErrors" dxfId="104" priority="89">
      <formula>ISERROR(Q8)</formula>
    </cfRule>
  </conditionalFormatting>
  <conditionalFormatting sqref="T14">
    <cfRule type="containsErrors" dxfId="103" priority="87">
      <formula>ISERROR(T14)</formula>
    </cfRule>
  </conditionalFormatting>
  <conditionalFormatting sqref="T13">
    <cfRule type="containsErrors" dxfId="102" priority="86">
      <formula>ISERROR(T13)</formula>
    </cfRule>
  </conditionalFormatting>
  <conditionalFormatting sqref="T12">
    <cfRule type="containsErrors" dxfId="101" priority="85">
      <formula>ISERROR(T12)</formula>
    </cfRule>
  </conditionalFormatting>
  <conditionalFormatting sqref="T9">
    <cfRule type="containsErrors" dxfId="100" priority="84">
      <formula>ISERROR(T9)</formula>
    </cfRule>
  </conditionalFormatting>
  <conditionalFormatting sqref="T10:T11">
    <cfRule type="containsErrors" dxfId="99" priority="88">
      <formula>ISERROR(T10)</formula>
    </cfRule>
  </conditionalFormatting>
  <conditionalFormatting sqref="T4:T6">
    <cfRule type="containsErrors" dxfId="98" priority="83">
      <formula>ISERROR(T4)</formula>
    </cfRule>
  </conditionalFormatting>
  <conditionalFormatting sqref="T7">
    <cfRule type="containsErrors" dxfId="97" priority="82">
      <formula>ISERROR(T7)</formula>
    </cfRule>
  </conditionalFormatting>
  <conditionalFormatting sqref="T8">
    <cfRule type="containsErrors" dxfId="96" priority="81">
      <formula>ISERROR(T8)</formula>
    </cfRule>
  </conditionalFormatting>
  <conditionalFormatting sqref="AO14">
    <cfRule type="containsErrors" dxfId="95" priority="79">
      <formula>ISERROR(AO14)</formula>
    </cfRule>
  </conditionalFormatting>
  <conditionalFormatting sqref="AO13">
    <cfRule type="containsErrors" dxfId="94" priority="78">
      <formula>ISERROR(AO13)</formula>
    </cfRule>
  </conditionalFormatting>
  <conditionalFormatting sqref="AO12">
    <cfRule type="containsErrors" dxfId="93" priority="77">
      <formula>ISERROR(AO12)</formula>
    </cfRule>
  </conditionalFormatting>
  <conditionalFormatting sqref="AO9">
    <cfRule type="containsErrors" dxfId="92" priority="76">
      <formula>ISERROR(AO9)</formula>
    </cfRule>
  </conditionalFormatting>
  <conditionalFormatting sqref="AO10">
    <cfRule type="containsErrors" dxfId="91" priority="80">
      <formula>ISERROR(AO10)</formula>
    </cfRule>
  </conditionalFormatting>
  <conditionalFormatting sqref="AO4:AO6">
    <cfRule type="containsErrors" dxfId="90" priority="75">
      <formula>ISERROR(AO4)</formula>
    </cfRule>
  </conditionalFormatting>
  <conditionalFormatting sqref="AO7">
    <cfRule type="containsErrors" dxfId="89" priority="74">
      <formula>ISERROR(AO7)</formula>
    </cfRule>
  </conditionalFormatting>
  <conditionalFormatting sqref="AO8">
    <cfRule type="containsErrors" dxfId="88" priority="73">
      <formula>ISERROR(AO8)</formula>
    </cfRule>
  </conditionalFormatting>
  <conditionalFormatting sqref="AR14">
    <cfRule type="containsErrors" dxfId="87" priority="71">
      <formula>ISERROR(AR14)</formula>
    </cfRule>
  </conditionalFormatting>
  <conditionalFormatting sqref="AR13">
    <cfRule type="containsErrors" dxfId="86" priority="70">
      <formula>ISERROR(AR13)</formula>
    </cfRule>
  </conditionalFormatting>
  <conditionalFormatting sqref="AR12">
    <cfRule type="containsErrors" dxfId="85" priority="69">
      <formula>ISERROR(AR12)</formula>
    </cfRule>
  </conditionalFormatting>
  <conditionalFormatting sqref="AR9">
    <cfRule type="containsErrors" dxfId="84" priority="68">
      <formula>ISERROR(AR9)</formula>
    </cfRule>
  </conditionalFormatting>
  <conditionalFormatting sqref="AR10">
    <cfRule type="containsErrors" dxfId="83" priority="72">
      <formula>ISERROR(AR10)</formula>
    </cfRule>
  </conditionalFormatting>
  <conditionalFormatting sqref="AR4:AR6">
    <cfRule type="containsErrors" dxfId="82" priority="67">
      <formula>ISERROR(AR4)</formula>
    </cfRule>
  </conditionalFormatting>
  <conditionalFormatting sqref="AR7">
    <cfRule type="containsErrors" dxfId="81" priority="66">
      <formula>ISERROR(AR7)</formula>
    </cfRule>
  </conditionalFormatting>
  <conditionalFormatting sqref="AR8">
    <cfRule type="containsErrors" dxfId="80" priority="65">
      <formula>ISERROR(AR8)</formula>
    </cfRule>
  </conditionalFormatting>
  <conditionalFormatting sqref="W14">
    <cfRule type="containsErrors" dxfId="79" priority="63">
      <formula>ISERROR(W14)</formula>
    </cfRule>
  </conditionalFormatting>
  <conditionalFormatting sqref="W13">
    <cfRule type="containsErrors" dxfId="78" priority="62">
      <formula>ISERROR(W13)</formula>
    </cfRule>
  </conditionalFormatting>
  <conditionalFormatting sqref="W9">
    <cfRule type="containsErrors" dxfId="77" priority="61">
      <formula>ISERROR(W9)</formula>
    </cfRule>
  </conditionalFormatting>
  <conditionalFormatting sqref="W4:W6">
    <cfRule type="containsErrors" dxfId="76" priority="60">
      <formula>ISERROR(W4)</formula>
    </cfRule>
  </conditionalFormatting>
  <conditionalFormatting sqref="W10">
    <cfRule type="containsErrors" dxfId="75" priority="64">
      <formula>ISERROR(W10)</formula>
    </cfRule>
  </conditionalFormatting>
  <conditionalFormatting sqref="W7">
    <cfRule type="containsErrors" dxfId="74" priority="59">
      <formula>ISERROR(W7)</formula>
    </cfRule>
  </conditionalFormatting>
  <conditionalFormatting sqref="W8">
    <cfRule type="containsErrors" dxfId="73" priority="58">
      <formula>ISERROR(W8)</formula>
    </cfRule>
  </conditionalFormatting>
  <conditionalFormatting sqref="Z10">
    <cfRule type="containsErrors" dxfId="72" priority="57">
      <formula>ISERROR(Z10)</formula>
    </cfRule>
  </conditionalFormatting>
  <conditionalFormatting sqref="Z13">
    <cfRule type="containsErrors" dxfId="71" priority="55">
      <formula>ISERROR(Z13)</formula>
    </cfRule>
  </conditionalFormatting>
  <conditionalFormatting sqref="Z9">
    <cfRule type="containsErrors" dxfId="70" priority="54">
      <formula>ISERROR(Z9)</formula>
    </cfRule>
  </conditionalFormatting>
  <conditionalFormatting sqref="Z4:Z6">
    <cfRule type="containsErrors" dxfId="69" priority="53">
      <formula>ISERROR(Z4)</formula>
    </cfRule>
  </conditionalFormatting>
  <conditionalFormatting sqref="Z7">
    <cfRule type="containsErrors" dxfId="68" priority="52">
      <formula>ISERROR(Z7)</formula>
    </cfRule>
  </conditionalFormatting>
  <conditionalFormatting sqref="Z14">
    <cfRule type="containsErrors" dxfId="67" priority="56">
      <formula>ISERROR(Z14)</formula>
    </cfRule>
  </conditionalFormatting>
  <conditionalFormatting sqref="Z8">
    <cfRule type="containsErrors" dxfId="66" priority="51">
      <formula>ISERROR(Z8)</formula>
    </cfRule>
  </conditionalFormatting>
  <conditionalFormatting sqref="AC10">
    <cfRule type="containsErrors" dxfId="65" priority="50">
      <formula>ISERROR(AC10)</formula>
    </cfRule>
  </conditionalFormatting>
  <conditionalFormatting sqref="AC14">
    <cfRule type="containsErrors" dxfId="64" priority="49">
      <formula>ISERROR(AC14)</formula>
    </cfRule>
  </conditionalFormatting>
  <conditionalFormatting sqref="AC9">
    <cfRule type="containsErrors" dxfId="63" priority="47">
      <formula>ISERROR(AC9)</formula>
    </cfRule>
  </conditionalFormatting>
  <conditionalFormatting sqref="AC4:AC6">
    <cfRule type="containsErrors" dxfId="62" priority="46">
      <formula>ISERROR(AC4)</formula>
    </cfRule>
  </conditionalFormatting>
  <conditionalFormatting sqref="AC7">
    <cfRule type="containsErrors" dxfId="61" priority="45">
      <formula>ISERROR(AC7)</formula>
    </cfRule>
  </conditionalFormatting>
  <conditionalFormatting sqref="AC8">
    <cfRule type="containsErrors" dxfId="60" priority="44">
      <formula>ISERROR(AC8)</formula>
    </cfRule>
  </conditionalFormatting>
  <conditionalFormatting sqref="AC13">
    <cfRule type="containsErrors" dxfId="59" priority="48">
      <formula>ISERROR(AC13)</formula>
    </cfRule>
  </conditionalFormatting>
  <conditionalFormatting sqref="AF10">
    <cfRule type="containsErrors" dxfId="58" priority="43">
      <formula>ISERROR(AF10)</formula>
    </cfRule>
  </conditionalFormatting>
  <conditionalFormatting sqref="AF14">
    <cfRule type="containsErrors" dxfId="57" priority="42">
      <formula>ISERROR(AF14)</formula>
    </cfRule>
  </conditionalFormatting>
  <conditionalFormatting sqref="AF13">
    <cfRule type="containsErrors" dxfId="56" priority="41">
      <formula>ISERROR(AF13)</formula>
    </cfRule>
  </conditionalFormatting>
  <conditionalFormatting sqref="AF4:AF6">
    <cfRule type="containsErrors" dxfId="55" priority="39">
      <formula>ISERROR(AF4)</formula>
    </cfRule>
  </conditionalFormatting>
  <conditionalFormatting sqref="AF7">
    <cfRule type="containsErrors" dxfId="54" priority="38">
      <formula>ISERROR(AF7)</formula>
    </cfRule>
  </conditionalFormatting>
  <conditionalFormatting sqref="AF8">
    <cfRule type="containsErrors" dxfId="53" priority="37">
      <formula>ISERROR(AF8)</formula>
    </cfRule>
  </conditionalFormatting>
  <conditionalFormatting sqref="AI10">
    <cfRule type="containsErrors" dxfId="52" priority="36">
      <formula>ISERROR(AI10)</formula>
    </cfRule>
  </conditionalFormatting>
  <conditionalFormatting sqref="AF9">
    <cfRule type="containsErrors" dxfId="51" priority="40">
      <formula>ISERROR(AF9)</formula>
    </cfRule>
  </conditionalFormatting>
  <conditionalFormatting sqref="AI14">
    <cfRule type="containsErrors" dxfId="50" priority="35">
      <formula>ISERROR(AI14)</formula>
    </cfRule>
  </conditionalFormatting>
  <conditionalFormatting sqref="AI13">
    <cfRule type="containsErrors" dxfId="49" priority="34">
      <formula>ISERROR(AI13)</formula>
    </cfRule>
  </conditionalFormatting>
  <conditionalFormatting sqref="AI9">
    <cfRule type="containsErrors" dxfId="48" priority="33">
      <formula>ISERROR(AI9)</formula>
    </cfRule>
  </conditionalFormatting>
  <conditionalFormatting sqref="AI7">
    <cfRule type="containsErrors" dxfId="47" priority="31">
      <formula>ISERROR(AI7)</formula>
    </cfRule>
  </conditionalFormatting>
  <conditionalFormatting sqref="AI8">
    <cfRule type="containsErrors" dxfId="46" priority="30">
      <formula>ISERROR(AI8)</formula>
    </cfRule>
  </conditionalFormatting>
  <conditionalFormatting sqref="AL10">
    <cfRule type="containsErrors" dxfId="45" priority="29">
      <formula>ISERROR(AL10)</formula>
    </cfRule>
  </conditionalFormatting>
  <conditionalFormatting sqref="AL14">
    <cfRule type="containsErrors" dxfId="44" priority="28">
      <formula>ISERROR(AL14)</formula>
    </cfRule>
  </conditionalFormatting>
  <conditionalFormatting sqref="AI4:AI6">
    <cfRule type="containsErrors" dxfId="43" priority="32">
      <formula>ISERROR(AI4)</formula>
    </cfRule>
  </conditionalFormatting>
  <conditionalFormatting sqref="AL13">
    <cfRule type="containsErrors" dxfId="42" priority="27">
      <formula>ISERROR(AL13)</formula>
    </cfRule>
  </conditionalFormatting>
  <conditionalFormatting sqref="AL9">
    <cfRule type="containsErrors" dxfId="41" priority="26">
      <formula>ISERROR(AL9)</formula>
    </cfRule>
  </conditionalFormatting>
  <conditionalFormatting sqref="AL4:AL6">
    <cfRule type="containsErrors" dxfId="40" priority="25">
      <formula>ISERROR(AL4)</formula>
    </cfRule>
  </conditionalFormatting>
  <conditionalFormatting sqref="AL8">
    <cfRule type="containsErrors" dxfId="39" priority="23">
      <formula>ISERROR(AL8)</formula>
    </cfRule>
  </conditionalFormatting>
  <conditionalFormatting sqref="N10:N11">
    <cfRule type="containsErrors" dxfId="38" priority="22">
      <formula>ISERROR(N10)</formula>
    </cfRule>
  </conditionalFormatting>
  <conditionalFormatting sqref="N14">
    <cfRule type="containsErrors" dxfId="37" priority="21">
      <formula>ISERROR(N14)</formula>
    </cfRule>
  </conditionalFormatting>
  <conditionalFormatting sqref="N13">
    <cfRule type="containsErrors" dxfId="36" priority="20">
      <formula>ISERROR(N13)</formula>
    </cfRule>
  </conditionalFormatting>
  <conditionalFormatting sqref="AL7">
    <cfRule type="containsErrors" dxfId="35" priority="24">
      <formula>ISERROR(AL7)</formula>
    </cfRule>
  </conditionalFormatting>
  <conditionalFormatting sqref="N12">
    <cfRule type="containsErrors" dxfId="34" priority="19">
      <formula>ISERROR(N12)</formula>
    </cfRule>
  </conditionalFormatting>
  <conditionalFormatting sqref="N9">
    <cfRule type="containsErrors" dxfId="33" priority="18">
      <formula>ISERROR(N9)</formula>
    </cfRule>
  </conditionalFormatting>
  <conditionalFormatting sqref="N4:N6">
    <cfRule type="containsErrors" dxfId="32" priority="17">
      <formula>ISERROR(N4)</formula>
    </cfRule>
  </conditionalFormatting>
  <conditionalFormatting sqref="N8">
    <cfRule type="containsErrors" dxfId="31" priority="15">
      <formula>ISERROR(N8)</formula>
    </cfRule>
  </conditionalFormatting>
  <conditionalFormatting sqref="W11">
    <cfRule type="containsErrors" dxfId="30" priority="14">
      <formula>ISERROR(W11)</formula>
    </cfRule>
  </conditionalFormatting>
  <conditionalFormatting sqref="Z11">
    <cfRule type="containsErrors" dxfId="29" priority="13">
      <formula>ISERROR(Z11)</formula>
    </cfRule>
  </conditionalFormatting>
  <conditionalFormatting sqref="AC11">
    <cfRule type="containsErrors" dxfId="28" priority="12">
      <formula>ISERROR(AC11)</formula>
    </cfRule>
  </conditionalFormatting>
  <conditionalFormatting sqref="N7">
    <cfRule type="containsErrors" dxfId="27" priority="16">
      <formula>ISERROR(N7)</formula>
    </cfRule>
  </conditionalFormatting>
  <conditionalFormatting sqref="AF11">
    <cfRule type="containsErrors" dxfId="26" priority="11">
      <formula>ISERROR(AF11)</formula>
    </cfRule>
  </conditionalFormatting>
  <conditionalFormatting sqref="AI11">
    <cfRule type="containsErrors" dxfId="25" priority="10">
      <formula>ISERROR(AI11)</formula>
    </cfRule>
  </conditionalFormatting>
  <conditionalFormatting sqref="AL11">
    <cfRule type="containsErrors" dxfId="24" priority="9">
      <formula>ISERROR(AL11)</formula>
    </cfRule>
  </conditionalFormatting>
  <conditionalFormatting sqref="AI12">
    <cfRule type="containsErrors" dxfId="23" priority="2">
      <formula>ISERROR(AI12)</formula>
    </cfRule>
  </conditionalFormatting>
  <conditionalFormatting sqref="AL12">
    <cfRule type="containsErrors" dxfId="22" priority="1">
      <formula>ISERROR(AL12)</formula>
    </cfRule>
  </conditionalFormatting>
  <conditionalFormatting sqref="W12">
    <cfRule type="containsErrors" dxfId="21" priority="6">
      <formula>ISERROR(W12)</formula>
    </cfRule>
  </conditionalFormatting>
  <conditionalFormatting sqref="Z12">
    <cfRule type="containsErrors" dxfId="20" priority="5">
      <formula>ISERROR(Z12)</formula>
    </cfRule>
  </conditionalFormatting>
  <conditionalFormatting sqref="AC12">
    <cfRule type="containsErrors" dxfId="19" priority="4">
      <formula>ISERROR(AC12)</formula>
    </cfRule>
  </conditionalFormatting>
  <conditionalFormatting sqref="AF12">
    <cfRule type="containsErrors" dxfId="18" priority="3">
      <formula>ISERROR(AF12)</formula>
    </cfRule>
  </conditionalFormatting>
  <conditionalFormatting sqref="AO11">
    <cfRule type="containsErrors" dxfId="17" priority="8">
      <formula>ISERROR(AO11)</formula>
    </cfRule>
  </conditionalFormatting>
  <conditionalFormatting sqref="AR11">
    <cfRule type="containsErrors" dxfId="16" priority="7">
      <formula>ISERROR(AR11)</formula>
    </cfRule>
  </conditionalFormatting>
  <hyperlinks>
    <hyperlink ref="A112" location="'Terms and Notes'!B16" display="*"/>
    <hyperlink ref="A135" location="'Terms and Notes'!B17" display="*"/>
    <hyperlink ref="K5" location="'Terms and Notes'!B14" display="'Terms and Notes'!B14"/>
    <hyperlink ref="K13" location="'Terms and Notes'!B15" display="*"/>
    <hyperlink ref="K14" location="'Terms and Notes'!B16" display="*"/>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'Cost Drivers'!$A$2:$A$63</xm:f>
          </x14:formula1>
          <xm:sqref>H19:H168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64"/>
  <sheetViews>
    <sheetView workbookViewId="0">
      <selection activeCell="T29" sqref="T29"/>
    </sheetView>
  </sheetViews>
  <sheetFormatPr defaultColWidth="8.7109375" defaultRowHeight="15.75" x14ac:dyDescent="0.3"/>
  <cols>
    <col min="1" max="1" width="36.28515625" style="4" bestFit="1" customWidth="1"/>
    <col min="2" max="2" width="17.42578125" style="4" customWidth="1"/>
    <col min="3" max="3" width="11.28515625" style="4" customWidth="1"/>
    <col min="4" max="4" width="19.28515625" style="4" bestFit="1" customWidth="1"/>
    <col min="5" max="5" width="19.28515625" style="4" customWidth="1"/>
    <col min="6" max="6" width="19.28515625" style="4" bestFit="1" customWidth="1"/>
    <col min="7" max="15" width="14.7109375" style="4" customWidth="1"/>
    <col min="16" max="19" width="12.7109375" style="4" customWidth="1"/>
    <col min="20" max="20" width="8.7109375" style="4"/>
    <col min="21" max="21" width="11.5703125" style="4" customWidth="1"/>
    <col min="22" max="22" width="8.7109375" style="4"/>
    <col min="23" max="23" width="12.7109375" style="4" customWidth="1"/>
    <col min="24" max="16384" width="8.7109375" style="4"/>
  </cols>
  <sheetData>
    <row r="1" spans="1:23" x14ac:dyDescent="0.3">
      <c r="A1" s="4">
        <v>1</v>
      </c>
      <c r="B1" s="4">
        <v>2</v>
      </c>
      <c r="C1" s="4">
        <v>3</v>
      </c>
      <c r="D1" s="4">
        <v>4</v>
      </c>
      <c r="E1" s="4">
        <v>5</v>
      </c>
      <c r="F1" s="4">
        <v>6</v>
      </c>
      <c r="G1" s="4">
        <v>7</v>
      </c>
      <c r="H1" s="4">
        <v>8</v>
      </c>
      <c r="I1" s="4">
        <v>9</v>
      </c>
      <c r="J1" s="4">
        <v>10</v>
      </c>
      <c r="K1" s="4">
        <v>11</v>
      </c>
      <c r="L1" s="4">
        <v>12</v>
      </c>
      <c r="M1" s="4">
        <v>13</v>
      </c>
      <c r="N1" s="4">
        <v>14</v>
      </c>
      <c r="O1" s="4">
        <v>15</v>
      </c>
      <c r="P1" s="4">
        <v>16</v>
      </c>
      <c r="Q1" s="4">
        <v>17</v>
      </c>
      <c r="R1" s="4">
        <v>18</v>
      </c>
      <c r="S1" s="4">
        <v>19</v>
      </c>
      <c r="T1" s="4">
        <v>20</v>
      </c>
      <c r="U1" s="4">
        <v>21</v>
      </c>
      <c r="V1" s="4">
        <v>22</v>
      </c>
    </row>
    <row r="2" spans="1:23" s="9" customFormat="1" x14ac:dyDescent="0.3">
      <c r="A2" s="10" t="s">
        <v>81</v>
      </c>
      <c r="B2" s="153" t="s">
        <v>530</v>
      </c>
      <c r="C2" s="153"/>
      <c r="D2" s="153" t="s">
        <v>401</v>
      </c>
      <c r="E2" s="153"/>
      <c r="F2" s="153" t="s">
        <v>402</v>
      </c>
      <c r="G2" s="153"/>
      <c r="H2" s="153" t="s">
        <v>403</v>
      </c>
      <c r="I2" s="153"/>
      <c r="J2" s="153" t="s">
        <v>404</v>
      </c>
      <c r="K2" s="153"/>
      <c r="L2" s="153" t="s">
        <v>405</v>
      </c>
      <c r="M2" s="153"/>
      <c r="N2" s="153" t="s">
        <v>406</v>
      </c>
      <c r="O2" s="153"/>
      <c r="P2" s="153" t="s">
        <v>407</v>
      </c>
      <c r="Q2" s="153"/>
      <c r="R2" s="153" t="s">
        <v>408</v>
      </c>
      <c r="S2" s="153"/>
      <c r="T2" s="153" t="s">
        <v>548</v>
      </c>
      <c r="U2" s="153"/>
      <c r="V2" s="153" t="s">
        <v>549</v>
      </c>
      <c r="W2" s="153"/>
    </row>
    <row r="3" spans="1:23" x14ac:dyDescent="0.3">
      <c r="A3" s="154" t="s">
        <v>310</v>
      </c>
      <c r="B3" s="1">
        <f>'Enrollment &amp; Staffing'!D$8</f>
        <v>38876.166666666672</v>
      </c>
      <c r="C3" s="1"/>
      <c r="D3" s="1">
        <f>'Enrollment &amp; Staffing'!L$8</f>
        <v>38876</v>
      </c>
      <c r="E3" s="1"/>
      <c r="F3" s="1">
        <f>'Enrollment &amp; Staffing'!P8</f>
        <v>38876</v>
      </c>
      <c r="G3" s="1"/>
      <c r="H3" s="1">
        <f>'Enrollment &amp; Staffing'!R8</f>
        <v>38876</v>
      </c>
      <c r="I3" s="1"/>
      <c r="J3" s="1">
        <f>'Enrollment &amp; Staffing'!V8</f>
        <v>38876</v>
      </c>
      <c r="K3" s="1"/>
      <c r="L3" s="1">
        <f>'Enrollment &amp; Staffing'!X8</f>
        <v>38876</v>
      </c>
      <c r="M3" s="1"/>
      <c r="N3" s="1">
        <f>'Enrollment &amp; Staffing'!AB8</f>
        <v>38876</v>
      </c>
      <c r="O3" s="1"/>
      <c r="P3" s="1">
        <f>'Enrollment &amp; Staffing'!AD8</f>
        <v>38876</v>
      </c>
      <c r="Q3" s="1"/>
      <c r="R3" s="1">
        <f>'Enrollment &amp; Staffing'!AH8</f>
        <v>38876</v>
      </c>
      <c r="S3" s="1"/>
      <c r="T3" s="1">
        <f>'Enrollment &amp; Staffing'!F8</f>
        <v>38876</v>
      </c>
      <c r="V3" s="1">
        <f>'Enrollment &amp; Staffing'!J8</f>
        <v>38876</v>
      </c>
    </row>
    <row r="4" spans="1:23" x14ac:dyDescent="0.3">
      <c r="A4" s="155" t="s">
        <v>312</v>
      </c>
      <c r="B4" s="1">
        <f>SUM(B5:B8)</f>
        <v>27071.666666666668</v>
      </c>
      <c r="C4" s="1"/>
      <c r="D4" s="1">
        <f t="shared" ref="D4:P4" si="0">SUM(D5:D8)</f>
        <v>26877</v>
      </c>
      <c r="E4" s="1"/>
      <c r="F4" s="1">
        <f t="shared" si="0"/>
        <v>26100</v>
      </c>
      <c r="G4" s="1"/>
      <c r="H4" s="1">
        <f t="shared" si="0"/>
        <v>26683</v>
      </c>
      <c r="I4" s="1"/>
      <c r="J4" s="1">
        <f t="shared" si="0"/>
        <v>25128</v>
      </c>
      <c r="K4" s="1"/>
      <c r="L4" s="1">
        <f t="shared" si="0"/>
        <v>26294</v>
      </c>
      <c r="M4" s="1"/>
      <c r="N4" s="1">
        <f t="shared" si="0"/>
        <v>23184</v>
      </c>
      <c r="O4" s="1"/>
      <c r="P4" s="1">
        <f t="shared" si="0"/>
        <v>25517</v>
      </c>
      <c r="Q4" s="1"/>
      <c r="R4" s="1">
        <f>SUM(R5:R8)</f>
        <v>19296</v>
      </c>
      <c r="S4" s="1"/>
      <c r="T4" s="1">
        <f>SUM(T5:T8)</f>
        <v>27072</v>
      </c>
      <c r="V4" s="1">
        <f>SUM(V5:V8)</f>
        <v>27072</v>
      </c>
    </row>
    <row r="5" spans="1:23" x14ac:dyDescent="0.3">
      <c r="A5" s="155" t="s">
        <v>309</v>
      </c>
      <c r="B5" s="1">
        <f>SUM('Enrollment &amp; Staffing'!D$12:D$14)</f>
        <v>6909.5</v>
      </c>
      <c r="C5" s="1"/>
      <c r="D5" s="1">
        <f>SUM('Enrollment &amp; Staffing'!L$12:L$14)</f>
        <v>6751</v>
      </c>
      <c r="E5" s="1"/>
      <c r="F5" s="1">
        <f>SUM('Enrollment &amp; Staffing'!P12:P14)</f>
        <v>6442</v>
      </c>
      <c r="G5" s="1"/>
      <c r="H5" s="1">
        <f>SUM('Enrollment &amp; Staffing'!R12:R14)</f>
        <v>6706</v>
      </c>
      <c r="I5" s="1"/>
      <c r="J5" s="1">
        <f>SUM('Enrollment &amp; Staffing'!V12:V14)</f>
        <v>6359</v>
      </c>
      <c r="K5" s="1"/>
      <c r="L5" s="1">
        <f>SUM('Enrollment &amp; Staffing'!X12:X14)</f>
        <v>6616</v>
      </c>
      <c r="M5" s="1"/>
      <c r="N5" s="1">
        <f>SUM('Enrollment &amp; Staffing'!AB12:AB14)</f>
        <v>6193</v>
      </c>
      <c r="O5" s="1"/>
      <c r="P5" s="1">
        <f>SUM('Enrollment &amp; Staffing'!AD12:AD14)</f>
        <v>6433</v>
      </c>
      <c r="Q5" s="1"/>
      <c r="R5" s="1">
        <f>SUM('Enrollment &amp; Staffing'!AH12:AH14)</f>
        <v>5867</v>
      </c>
      <c r="S5" s="1"/>
      <c r="T5" s="1">
        <f>SUM('Enrollment &amp; Staffing'!F12:F14)</f>
        <v>6796</v>
      </c>
      <c r="V5" s="1">
        <f>SUM('Enrollment &amp; Staffing'!J12:J14)</f>
        <v>6522</v>
      </c>
    </row>
    <row r="6" spans="1:23" x14ac:dyDescent="0.3">
      <c r="A6" s="155" t="s">
        <v>306</v>
      </c>
      <c r="B6" s="1">
        <f>SUM('Enrollment &amp; Staffing'!D$15:D$17)</f>
        <v>6678</v>
      </c>
      <c r="C6" s="1"/>
      <c r="D6" s="1">
        <f>SUM('Enrollment &amp; Staffing'!L$15:L$17)</f>
        <v>6761</v>
      </c>
      <c r="E6" s="1"/>
      <c r="F6" s="1">
        <f>SUM('Enrollment &amp; Staffing'!P15:P17)</f>
        <v>6436</v>
      </c>
      <c r="G6" s="1"/>
      <c r="H6" s="1">
        <f>SUM('Enrollment &amp; Staffing'!R15:R17)</f>
        <v>6717</v>
      </c>
      <c r="I6" s="1"/>
      <c r="J6" s="1">
        <f>SUM('Enrollment &amp; Staffing'!V15:V17)</f>
        <v>6194</v>
      </c>
      <c r="K6" s="1"/>
      <c r="L6" s="1">
        <f>SUM('Enrollment &amp; Staffing'!X15:X17)</f>
        <v>6628</v>
      </c>
      <c r="M6" s="1"/>
      <c r="N6" s="1">
        <f>SUM('Enrollment &amp; Staffing'!AB15:AB17)</f>
        <v>5717</v>
      </c>
      <c r="O6" s="1"/>
      <c r="P6" s="1">
        <f>SUM('Enrollment &amp; Staffing'!AD15:AD17)</f>
        <v>6447</v>
      </c>
      <c r="Q6" s="1"/>
      <c r="R6" s="1">
        <f>SUM('Enrollment &amp; Staffing'!AH15:AH17)</f>
        <v>4753</v>
      </c>
      <c r="S6" s="1"/>
      <c r="T6" s="1">
        <f>SUM('Enrollment &amp; Staffing'!F15:F17)</f>
        <v>6806</v>
      </c>
      <c r="V6" s="1">
        <f>SUM('Enrollment &amp; Staffing'!J15:J17)</f>
        <v>6676</v>
      </c>
    </row>
    <row r="7" spans="1:23" x14ac:dyDescent="0.3">
      <c r="A7" s="155" t="s">
        <v>307</v>
      </c>
      <c r="B7" s="1">
        <f>SUM('Enrollment &amp; Staffing'!D$18:D$20)</f>
        <v>5622.5</v>
      </c>
      <c r="C7" s="1"/>
      <c r="D7" s="1">
        <f>SUM('Enrollment &amp; Staffing'!L$18:L$20)</f>
        <v>5636</v>
      </c>
      <c r="E7" s="1"/>
      <c r="F7" s="1">
        <f>SUM('Enrollment &amp; Staffing'!P18:P20)</f>
        <v>5821</v>
      </c>
      <c r="G7" s="1"/>
      <c r="H7" s="1">
        <f>SUM('Enrollment &amp; Staffing'!R18:R20)</f>
        <v>5591</v>
      </c>
      <c r="I7" s="1"/>
      <c r="J7" s="1">
        <f>SUM('Enrollment &amp; Staffing'!V18:V20)</f>
        <v>5514</v>
      </c>
      <c r="K7" s="1"/>
      <c r="L7" s="1">
        <f>SUM('Enrollment &amp; Staffing'!X18:X20)</f>
        <v>5501</v>
      </c>
      <c r="M7" s="1"/>
      <c r="N7" s="1">
        <f>SUM('Enrollment &amp; Staffing'!AB18:AB20)</f>
        <v>4903</v>
      </c>
      <c r="O7" s="1"/>
      <c r="P7" s="1">
        <f>SUM('Enrollment &amp; Staffing'!AD18:AD20)</f>
        <v>5324</v>
      </c>
      <c r="Q7" s="1"/>
      <c r="R7" s="1">
        <f>SUM('Enrollment &amp; Staffing'!AH18:AH20)</f>
        <v>3665</v>
      </c>
      <c r="S7" s="1"/>
      <c r="T7" s="1">
        <f>SUM('Enrollment &amp; Staffing'!F18:F20)</f>
        <v>5681</v>
      </c>
      <c r="V7" s="1">
        <f>SUM('Enrollment &amp; Staffing'!J18:J20)</f>
        <v>6132</v>
      </c>
    </row>
    <row r="8" spans="1:23" x14ac:dyDescent="0.3">
      <c r="A8" s="155" t="s">
        <v>308</v>
      </c>
      <c r="B8" s="1">
        <f>SUM('Enrollment &amp; Staffing'!D$21:D$24)</f>
        <v>7861.666666666667</v>
      </c>
      <c r="C8" s="1"/>
      <c r="D8" s="1">
        <f>SUM('Enrollment &amp; Staffing'!L$21:L$24)</f>
        <v>7729</v>
      </c>
      <c r="E8" s="1"/>
      <c r="F8" s="1">
        <f>SUM('Enrollment &amp; Staffing'!P21:P24)</f>
        <v>7401</v>
      </c>
      <c r="G8" s="1"/>
      <c r="H8" s="1">
        <f>SUM('Enrollment &amp; Staffing'!R21:R24)</f>
        <v>7669</v>
      </c>
      <c r="I8" s="1"/>
      <c r="J8" s="1">
        <f>SUM('Enrollment &amp; Staffing'!V21:V24)</f>
        <v>7061</v>
      </c>
      <c r="K8" s="1"/>
      <c r="L8" s="1">
        <f>SUM('Enrollment &amp; Staffing'!X21:X24)</f>
        <v>7549</v>
      </c>
      <c r="M8" s="1"/>
      <c r="N8" s="1">
        <f>SUM('Enrollment &amp; Staffing'!AB21:AB24)</f>
        <v>6371</v>
      </c>
      <c r="O8" s="1"/>
      <c r="P8" s="1">
        <f>SUM('Enrollment &amp; Staffing'!AD21:AD24)</f>
        <v>7313</v>
      </c>
      <c r="Q8" s="1"/>
      <c r="R8" s="1">
        <f>SUM('Enrollment &amp; Staffing'!AH21:AH24)</f>
        <v>5011</v>
      </c>
      <c r="S8" s="1"/>
      <c r="T8" s="1">
        <f>SUM('Enrollment &amp; Staffing'!F21:F24)</f>
        <v>7789</v>
      </c>
      <c r="V8" s="1">
        <f>SUM('Enrollment &amp; Staffing'!J21:J24)</f>
        <v>7742</v>
      </c>
    </row>
    <row r="9" spans="1:23" x14ac:dyDescent="0.3">
      <c r="A9" s="155" t="s">
        <v>311</v>
      </c>
      <c r="B9" s="1">
        <f>SUM(B5:B8)-B11</f>
        <v>23109.666666666668</v>
      </c>
      <c r="C9" s="1"/>
      <c r="D9" s="1">
        <f t="shared" ref="D9:P9" si="1">SUM(D5:D8)-D11</f>
        <v>22949</v>
      </c>
      <c r="E9" s="1"/>
      <c r="F9" s="1">
        <f t="shared" si="1"/>
        <v>22304</v>
      </c>
      <c r="G9" s="1"/>
      <c r="H9" s="1">
        <f t="shared" si="1"/>
        <v>22787</v>
      </c>
      <c r="I9" s="1"/>
      <c r="J9" s="1">
        <f t="shared" si="1"/>
        <v>21500</v>
      </c>
      <c r="K9" s="1"/>
      <c r="L9" s="1">
        <f t="shared" si="1"/>
        <v>22466</v>
      </c>
      <c r="M9" s="1"/>
      <c r="N9" s="1">
        <f t="shared" si="1"/>
        <v>19889</v>
      </c>
      <c r="O9" s="1"/>
      <c r="P9" s="1">
        <f t="shared" si="1"/>
        <v>21821</v>
      </c>
      <c r="Q9" s="1"/>
      <c r="R9" s="1">
        <f>SUM(R5:R8)-R11</f>
        <v>16668</v>
      </c>
      <c r="S9" s="1"/>
      <c r="T9" s="1">
        <f>SUM(T5:T8)-T11</f>
        <v>23110</v>
      </c>
      <c r="V9" s="1">
        <f>SUM(V5:V8)-V11</f>
        <v>23110</v>
      </c>
    </row>
    <row r="10" spans="1:23" x14ac:dyDescent="0.3">
      <c r="A10" s="155" t="s">
        <v>432</v>
      </c>
      <c r="B10" s="1">
        <f>'Enrollment &amp; Staffing'!D$26</f>
        <v>16243</v>
      </c>
      <c r="C10" s="1"/>
      <c r="D10" s="1">
        <f>'Enrollment &amp; Staffing'!L$26</f>
        <v>16161</v>
      </c>
      <c r="E10" s="1"/>
      <c r="F10" s="1">
        <f>'Enrollment &amp; Staffing'!P26</f>
        <v>15832</v>
      </c>
      <c r="G10" s="1"/>
      <c r="H10" s="1">
        <f>'Enrollment &amp; Staffing'!R26</f>
        <v>16078</v>
      </c>
      <c r="I10" s="1"/>
      <c r="J10" s="1">
        <f>'Enrollment &amp; Staffing'!V26</f>
        <v>15420</v>
      </c>
      <c r="K10" s="1"/>
      <c r="L10" s="1">
        <f>'Enrollment &amp; Staffing'!X26</f>
        <v>15914</v>
      </c>
      <c r="M10" s="1"/>
      <c r="N10" s="1">
        <f>'Enrollment &amp; Staffing'!AB26</f>
        <v>14596</v>
      </c>
      <c r="O10" s="1"/>
      <c r="P10" s="1">
        <f>'Enrollment &amp; Staffing'!AD26</f>
        <v>15585</v>
      </c>
      <c r="Q10" s="1"/>
      <c r="R10" s="1">
        <f>'Enrollment &amp; Staffing'!AH26</f>
        <v>12950</v>
      </c>
      <c r="S10" s="1"/>
      <c r="T10" s="1">
        <f>'Enrollment &amp; Staffing'!F26</f>
        <v>16243</v>
      </c>
      <c r="V10" s="1">
        <f>'Enrollment &amp; Staffing'!J26</f>
        <v>16243</v>
      </c>
    </row>
    <row r="11" spans="1:23" x14ac:dyDescent="0.3">
      <c r="A11" s="155" t="s">
        <v>304</v>
      </c>
      <c r="B11" s="1">
        <f>'Enrollment &amp; Staffing'!D$27</f>
        <v>3962</v>
      </c>
      <c r="C11" s="1"/>
      <c r="D11" s="1">
        <f>'Enrollment &amp; Staffing'!L$27</f>
        <v>3928</v>
      </c>
      <c r="E11" s="1"/>
      <c r="F11" s="1">
        <f>'Enrollment &amp; Staffing'!P27</f>
        <v>3796</v>
      </c>
      <c r="G11" s="1"/>
      <c r="H11" s="1">
        <f>'Enrollment &amp; Staffing'!R27</f>
        <v>3896</v>
      </c>
      <c r="I11" s="1"/>
      <c r="J11" s="1">
        <f>'Enrollment &amp; Staffing'!V27</f>
        <v>3628</v>
      </c>
      <c r="K11" s="1"/>
      <c r="L11" s="1">
        <f>'Enrollment &amp; Staffing'!X27</f>
        <v>3828</v>
      </c>
      <c r="M11" s="1"/>
      <c r="N11" s="1">
        <f>'Enrollment &amp; Staffing'!AB27</f>
        <v>3295</v>
      </c>
      <c r="O11" s="1"/>
      <c r="P11" s="1">
        <f>'Enrollment &amp; Staffing'!AD27</f>
        <v>3696</v>
      </c>
      <c r="Q11" s="1"/>
      <c r="R11" s="1">
        <f>'Enrollment &amp; Staffing'!AH27</f>
        <v>2628</v>
      </c>
      <c r="S11" s="1"/>
      <c r="T11" s="1">
        <f>'Enrollment &amp; Staffing'!F27</f>
        <v>3962</v>
      </c>
      <c r="V11" s="1">
        <f>'Enrollment &amp; Staffing'!J27</f>
        <v>3962</v>
      </c>
    </row>
    <row r="12" spans="1:23" x14ac:dyDescent="0.3">
      <c r="A12" s="155" t="s">
        <v>305</v>
      </c>
      <c r="B12" s="1">
        <f>'Enrollment &amp; Staffing'!D$31</f>
        <v>2577</v>
      </c>
      <c r="C12" s="1"/>
      <c r="D12" s="1">
        <f>'Enrollment &amp; Staffing'!L$31</f>
        <v>2570</v>
      </c>
      <c r="E12" s="1"/>
      <c r="F12" s="1">
        <f>'Enrollment &amp; Staffing'!P31</f>
        <v>2542</v>
      </c>
      <c r="G12" s="1"/>
      <c r="H12" s="1">
        <f>'Enrollment &amp; Staffing'!R31</f>
        <v>2563</v>
      </c>
      <c r="I12" s="1"/>
      <c r="J12" s="1">
        <f>'Enrollment &amp; Staffing'!V31</f>
        <v>2507</v>
      </c>
      <c r="K12" s="1"/>
      <c r="L12" s="1">
        <f>'Enrollment &amp; Staffing'!X31</f>
        <v>2549</v>
      </c>
      <c r="M12" s="1"/>
      <c r="N12" s="1">
        <f>'Enrollment &amp; Staffing'!AB31</f>
        <v>2438</v>
      </c>
      <c r="O12" s="1"/>
      <c r="P12" s="1">
        <f>'Enrollment &amp; Staffing'!AD31</f>
        <v>2521</v>
      </c>
      <c r="Q12" s="1"/>
      <c r="R12" s="1">
        <f>'Enrollment &amp; Staffing'!AH31</f>
        <v>2298</v>
      </c>
      <c r="S12" s="1"/>
      <c r="T12" s="1">
        <f>'Enrollment &amp; Staffing'!F31</f>
        <v>2577</v>
      </c>
      <c r="V12" s="1">
        <f>'Enrollment &amp; Staffing'!J31</f>
        <v>2577</v>
      </c>
    </row>
    <row r="13" spans="1:23" x14ac:dyDescent="0.3">
      <c r="A13" s="155" t="s">
        <v>367</v>
      </c>
      <c r="B13" s="1">
        <f>'Enrollment &amp; Staffing'!D$33</f>
        <v>11804.500000000002</v>
      </c>
      <c r="C13" s="1"/>
      <c r="D13" s="1">
        <f>'Enrollment &amp; Staffing'!L$33</f>
        <v>11999</v>
      </c>
      <c r="E13" s="1"/>
      <c r="F13" s="1">
        <f>'Enrollment &amp; Staffing'!P33</f>
        <v>12776</v>
      </c>
      <c r="G13" s="1"/>
      <c r="H13" s="1">
        <f>'Enrollment &amp; Staffing'!R33</f>
        <v>12193</v>
      </c>
      <c r="I13" s="1"/>
      <c r="J13" s="1">
        <f>'Enrollment &amp; Staffing'!V33</f>
        <v>13748</v>
      </c>
      <c r="K13" s="1"/>
      <c r="L13" s="1">
        <f>'Enrollment &amp; Staffing'!X33</f>
        <v>12582</v>
      </c>
      <c r="M13" s="1"/>
      <c r="N13" s="1">
        <f>'Enrollment &amp; Staffing'!AB33</f>
        <v>15692</v>
      </c>
      <c r="O13" s="1"/>
      <c r="P13" s="1">
        <f>'Enrollment &amp; Staffing'!AD33</f>
        <v>13359</v>
      </c>
      <c r="Q13" s="1"/>
      <c r="R13" s="1">
        <f>'Enrollment &amp; Staffing'!AH33</f>
        <v>19580</v>
      </c>
      <c r="S13" s="1"/>
      <c r="T13" s="1">
        <f>'Enrollment &amp; Staffing'!F33</f>
        <v>11804</v>
      </c>
      <c r="V13" s="1">
        <f>'Enrollment &amp; Staffing'!J33</f>
        <v>11804</v>
      </c>
    </row>
    <row r="14" spans="1:23" x14ac:dyDescent="0.3">
      <c r="A14" s="155" t="s">
        <v>368</v>
      </c>
      <c r="B14" s="1">
        <f>B13-B15</f>
        <v>9779.5000000000018</v>
      </c>
      <c r="C14" s="1"/>
      <c r="D14" s="1">
        <f t="shared" ref="D14:P14" si="2">D13-D15</f>
        <v>9940</v>
      </c>
      <c r="E14" s="1"/>
      <c r="F14" s="1">
        <f t="shared" si="2"/>
        <v>10585</v>
      </c>
      <c r="G14" s="1"/>
      <c r="H14" s="1">
        <f t="shared" si="2"/>
        <v>10102</v>
      </c>
      <c r="I14" s="1"/>
      <c r="J14" s="1">
        <f t="shared" si="2"/>
        <v>11389</v>
      </c>
      <c r="K14" s="1"/>
      <c r="L14" s="1">
        <f t="shared" si="2"/>
        <v>10423</v>
      </c>
      <c r="M14" s="1"/>
      <c r="N14" s="1">
        <f t="shared" si="2"/>
        <v>13000</v>
      </c>
      <c r="O14" s="1"/>
      <c r="P14" s="1">
        <f t="shared" si="2"/>
        <v>11068</v>
      </c>
      <c r="Q14" s="1"/>
      <c r="R14" s="1">
        <f>R13-R15</f>
        <v>16221</v>
      </c>
      <c r="S14" s="1"/>
      <c r="T14" s="1">
        <f>T13-T15</f>
        <v>9779</v>
      </c>
      <c r="V14" s="1">
        <f>V13-V15</f>
        <v>9779</v>
      </c>
    </row>
    <row r="15" spans="1:23" x14ac:dyDescent="0.3">
      <c r="A15" s="155" t="s">
        <v>369</v>
      </c>
      <c r="B15" s="1">
        <f>'Enrollment &amp; Staffing'!D$50</f>
        <v>2025</v>
      </c>
      <c r="C15" s="1"/>
      <c r="D15" s="1">
        <f>'Enrollment &amp; Staffing'!L$50</f>
        <v>2059</v>
      </c>
      <c r="E15" s="1"/>
      <c r="F15" s="1">
        <f>'Enrollment &amp; Staffing'!P50</f>
        <v>2191</v>
      </c>
      <c r="G15" s="1"/>
      <c r="H15" s="1">
        <f>'Enrollment &amp; Staffing'!R50</f>
        <v>2091</v>
      </c>
      <c r="I15" s="1"/>
      <c r="J15" s="1">
        <f>'Enrollment &amp; Staffing'!V50</f>
        <v>2359</v>
      </c>
      <c r="K15" s="1"/>
      <c r="L15" s="1">
        <f>'Enrollment &amp; Staffing'!X50</f>
        <v>2159</v>
      </c>
      <c r="M15" s="1"/>
      <c r="N15" s="1">
        <f>'Enrollment &amp; Staffing'!AB50</f>
        <v>2692</v>
      </c>
      <c r="O15" s="1"/>
      <c r="P15" s="1">
        <f>'Enrollment &amp; Staffing'!AD50</f>
        <v>2291</v>
      </c>
      <c r="Q15" s="1"/>
      <c r="R15" s="1">
        <f>'Enrollment &amp; Staffing'!AH50</f>
        <v>3359</v>
      </c>
      <c r="S15" s="1"/>
      <c r="T15" s="1">
        <f>'Enrollment &amp; Staffing'!F50</f>
        <v>2025</v>
      </c>
      <c r="V15" s="1">
        <f>'Enrollment &amp; Staffing'!J50</f>
        <v>2025</v>
      </c>
    </row>
    <row r="16" spans="1:23" x14ac:dyDescent="0.3">
      <c r="A16" s="154" t="s">
        <v>531</v>
      </c>
      <c r="B16" s="1">
        <f>'Projection Setting'!H$5</f>
        <v>38938.833333333328</v>
      </c>
      <c r="C16" s="1"/>
      <c r="D16" s="1">
        <f>'Projection Setting'!$I$5</f>
        <v>38490.166666666672</v>
      </c>
      <c r="E16" s="1"/>
      <c r="F16" s="1">
        <f>'Enrollment &amp; Staffing'!N$8</f>
        <v>38876</v>
      </c>
      <c r="G16" s="1"/>
      <c r="H16" s="1">
        <f>'Projection Setting'!$I$5</f>
        <v>38490.166666666672</v>
      </c>
      <c r="I16" s="1"/>
      <c r="J16" s="1">
        <f>'Enrollment &amp; Staffing'!T$8</f>
        <v>38876</v>
      </c>
      <c r="K16" s="1"/>
      <c r="L16" s="1">
        <f>'Projection Setting'!$I$5</f>
        <v>38490.166666666672</v>
      </c>
      <c r="M16" s="1"/>
      <c r="N16" s="1">
        <f>'Enrollment &amp; Staffing'!Z$8</f>
        <v>38876</v>
      </c>
      <c r="O16" s="1"/>
      <c r="P16" s="1">
        <f>'Projection Setting'!$I$5</f>
        <v>38490.166666666672</v>
      </c>
      <c r="Q16" s="1"/>
      <c r="R16" s="1">
        <f>'Enrollment &amp; Staffing'!AF$8</f>
        <v>38876</v>
      </c>
      <c r="S16" s="1"/>
      <c r="T16" s="1">
        <f>'Projection Setting'!$I$5</f>
        <v>38490.166666666672</v>
      </c>
      <c r="V16" s="1">
        <f>'Enrollment &amp; Staffing'!H$8</f>
        <v>38876</v>
      </c>
    </row>
    <row r="17" spans="1:22" x14ac:dyDescent="0.3">
      <c r="A17" s="155" t="s">
        <v>532</v>
      </c>
      <c r="B17" s="1">
        <f>SUM(B18:B21)</f>
        <v>27646.333333333332</v>
      </c>
      <c r="C17" s="1"/>
      <c r="D17" s="1">
        <f>SUM(D18:D21)</f>
        <v>26988.5</v>
      </c>
      <c r="E17" s="1"/>
      <c r="F17" s="1">
        <f t="shared" ref="F17" si="3">SUM(F18:F21)</f>
        <v>26488</v>
      </c>
      <c r="G17" s="1"/>
      <c r="H17" s="1">
        <f>SUM(H18:H21)</f>
        <v>26988.5</v>
      </c>
      <c r="I17" s="1"/>
      <c r="J17" s="1">
        <f t="shared" ref="J17" si="4">SUM(J18:J21)</f>
        <v>25905</v>
      </c>
      <c r="K17" s="1"/>
      <c r="L17" s="1">
        <f>SUM(L18:L21)</f>
        <v>26988.5</v>
      </c>
      <c r="M17" s="1"/>
      <c r="N17" s="1">
        <f t="shared" ref="N17" si="5">SUM(N18:N21)</f>
        <v>24739</v>
      </c>
      <c r="O17" s="1"/>
      <c r="P17" s="1">
        <f>SUM(P18:P21)</f>
        <v>26988.5</v>
      </c>
      <c r="Q17" s="1"/>
      <c r="R17" s="1">
        <f t="shared" ref="R17" si="6">SUM(R18:R21)</f>
        <v>22406</v>
      </c>
      <c r="S17" s="1"/>
      <c r="T17" s="1">
        <f>SUM(T18:T21)</f>
        <v>26988.5</v>
      </c>
      <c r="V17" s="1">
        <f t="shared" ref="V17" si="7">SUM(V18:V21)</f>
        <v>27072</v>
      </c>
    </row>
    <row r="18" spans="1:22" x14ac:dyDescent="0.3">
      <c r="A18" s="155" t="s">
        <v>533</v>
      </c>
      <c r="B18" s="1">
        <f>SUM('Projection Setting'!H$9:H$11)</f>
        <v>7097.6666666666661</v>
      </c>
      <c r="C18" s="1"/>
      <c r="D18" s="1">
        <f>SUM('Projection Setting'!$I$9:$I$11)</f>
        <v>7015.833333333333</v>
      </c>
      <c r="E18" s="1"/>
      <c r="F18" s="1">
        <f>SUM('Enrollment &amp; Staffing'!N$12:N$14)</f>
        <v>6645</v>
      </c>
      <c r="G18" s="1"/>
      <c r="H18" s="1">
        <f>SUM('Projection Setting'!$I$9:$I$11)</f>
        <v>7015.833333333333</v>
      </c>
      <c r="I18" s="1"/>
      <c r="J18" s="1">
        <f>SUM('Enrollment &amp; Staffing'!T$12:T$14)</f>
        <v>6552</v>
      </c>
      <c r="K18" s="1"/>
      <c r="L18" s="1">
        <f>SUM('Projection Setting'!$I$9:$I$11)</f>
        <v>7015.833333333333</v>
      </c>
      <c r="M18" s="1"/>
      <c r="N18" s="1">
        <f>SUM('Enrollment &amp; Staffing'!Z$12:Z$14)</f>
        <v>6370</v>
      </c>
      <c r="O18" s="1"/>
      <c r="P18" s="1">
        <f>SUM('Projection Setting'!$I$9:$I$11)</f>
        <v>7015.833333333333</v>
      </c>
      <c r="Q18" s="1"/>
      <c r="R18" s="1">
        <f>SUM('Enrollment &amp; Staffing'!AF$12:AF$14)</f>
        <v>6001</v>
      </c>
      <c r="S18" s="1"/>
      <c r="T18" s="1">
        <f>SUM('Projection Setting'!$I$9:$I$11)</f>
        <v>7015.833333333333</v>
      </c>
      <c r="V18" s="1">
        <f>SUM('Enrollment &amp; Staffing'!H$12:H$14)</f>
        <v>6734</v>
      </c>
    </row>
    <row r="19" spans="1:22" x14ac:dyDescent="0.3">
      <c r="A19" s="155" t="s">
        <v>534</v>
      </c>
      <c r="B19" s="1">
        <f>SUM('Projection Setting'!H$12:H$14)</f>
        <v>6642</v>
      </c>
      <c r="C19" s="1"/>
      <c r="D19" s="1">
        <f>SUM('Projection Setting'!$I$12:$I$14)</f>
        <v>6522</v>
      </c>
      <c r="E19" s="1"/>
      <c r="F19" s="1">
        <f>SUM('Enrollment &amp; Staffing'!N$15:N$17)</f>
        <v>6597</v>
      </c>
      <c r="G19" s="1"/>
      <c r="H19" s="1">
        <f>SUM('Projection Setting'!$I$12:$I$14)</f>
        <v>6522</v>
      </c>
      <c r="I19" s="1"/>
      <c r="J19" s="1">
        <f>SUM('Enrollment &amp; Staffing'!T$15:T$17)</f>
        <v>6452</v>
      </c>
      <c r="K19" s="1"/>
      <c r="L19" s="1">
        <f>SUM('Projection Setting'!$I$12:$I$14)</f>
        <v>6522</v>
      </c>
      <c r="M19" s="1"/>
      <c r="N19" s="1">
        <f>SUM('Enrollment &amp; Staffing'!Z$15:Z$17)</f>
        <v>6160</v>
      </c>
      <c r="O19" s="1"/>
      <c r="P19" s="1">
        <f>SUM('Projection Setting'!$I$12:$I$14)</f>
        <v>6522</v>
      </c>
      <c r="Q19" s="1"/>
      <c r="R19" s="1">
        <f>SUM('Enrollment &amp; Staffing'!AF$15:AF$17)</f>
        <v>5566</v>
      </c>
      <c r="S19" s="1"/>
      <c r="T19" s="1">
        <f>SUM('Projection Setting'!$I$12:$I$14)</f>
        <v>6522</v>
      </c>
      <c r="V19" s="1">
        <f>SUM('Enrollment &amp; Staffing'!H$15:H$17)</f>
        <v>6747</v>
      </c>
    </row>
    <row r="20" spans="1:22" x14ac:dyDescent="0.3">
      <c r="A20" s="155" t="s">
        <v>535</v>
      </c>
      <c r="B20" s="1">
        <f>SUM('Projection Setting'!H$15:H$17)</f>
        <v>5768.833333333333</v>
      </c>
      <c r="C20" s="1"/>
      <c r="D20" s="1">
        <f>SUM('Projection Setting'!$I$15:$I$17)</f>
        <v>5551.833333333333</v>
      </c>
      <c r="E20" s="1"/>
      <c r="F20" s="1">
        <f>SUM('Enrollment &amp; Staffing'!N$18:N$20)</f>
        <v>5804</v>
      </c>
      <c r="G20" s="1"/>
      <c r="H20" s="1">
        <f>SUM('Projection Setting'!$I$15:$I$17)</f>
        <v>5551.833333333333</v>
      </c>
      <c r="I20" s="1"/>
      <c r="J20" s="1">
        <f>SUM('Enrollment &amp; Staffing'!T$18:T$20)</f>
        <v>5647</v>
      </c>
      <c r="K20" s="1"/>
      <c r="L20" s="1">
        <f>SUM('Projection Setting'!$I$15:$I$17)</f>
        <v>5551.833333333333</v>
      </c>
      <c r="M20" s="1"/>
      <c r="N20" s="1">
        <f>SUM('Enrollment &amp; Staffing'!Z$18:Z$20)</f>
        <v>5331</v>
      </c>
      <c r="O20" s="1"/>
      <c r="P20" s="1">
        <f>SUM('Projection Setting'!$I$15:$I$17)</f>
        <v>5551.833333333333</v>
      </c>
      <c r="Q20" s="1"/>
      <c r="R20" s="1">
        <f>SUM('Enrollment &amp; Staffing'!AF$18:AF$20)</f>
        <v>4704</v>
      </c>
      <c r="S20" s="1"/>
      <c r="T20" s="1">
        <f>SUM('Projection Setting'!$I$15:$I$17)</f>
        <v>5551.833333333333</v>
      </c>
      <c r="V20" s="1">
        <f>SUM('Enrollment &amp; Staffing'!H$18:H$20)</f>
        <v>5964</v>
      </c>
    </row>
    <row r="21" spans="1:22" x14ac:dyDescent="0.3">
      <c r="A21" s="155" t="s">
        <v>536</v>
      </c>
      <c r="B21" s="1">
        <f>SUM('Projection Setting'!H$18:H$21)</f>
        <v>8137.833333333333</v>
      </c>
      <c r="C21" s="1"/>
      <c r="D21" s="1">
        <f>SUM('Projection Setting'!$I$18:$I$21)</f>
        <v>7898.8333333333339</v>
      </c>
      <c r="E21" s="1"/>
      <c r="F21" s="1">
        <f>SUM('Enrollment &amp; Staffing'!N$21:N$24)</f>
        <v>7442</v>
      </c>
      <c r="G21" s="1"/>
      <c r="H21" s="1">
        <f>SUM('Projection Setting'!$I$18:$I$21)</f>
        <v>7898.8333333333339</v>
      </c>
      <c r="I21" s="1"/>
      <c r="J21" s="1">
        <f>SUM('Enrollment &amp; Staffing'!T$21:T$24)</f>
        <v>7254</v>
      </c>
      <c r="K21" s="1"/>
      <c r="L21" s="1">
        <f>SUM('Projection Setting'!$I$18:$I$21)</f>
        <v>7898.8333333333339</v>
      </c>
      <c r="M21" s="1"/>
      <c r="N21" s="1">
        <f>SUM('Enrollment &amp; Staffing'!Z$21:Z$24)</f>
        <v>6878</v>
      </c>
      <c r="O21" s="1"/>
      <c r="P21" s="1">
        <f>SUM('Projection Setting'!$I$18:$I$21)</f>
        <v>7898.8333333333339</v>
      </c>
      <c r="Q21" s="1"/>
      <c r="R21" s="1">
        <f>SUM('Enrollment &amp; Staffing'!AF$21:AF$24)</f>
        <v>6135</v>
      </c>
      <c r="S21" s="1"/>
      <c r="T21" s="1">
        <f>SUM('Projection Setting'!$I$18:$I$21)</f>
        <v>7898.8333333333339</v>
      </c>
      <c r="V21" s="1">
        <f>SUM('Enrollment &amp; Staffing'!H$21:H$24)</f>
        <v>7627</v>
      </c>
    </row>
    <row r="22" spans="1:22" x14ac:dyDescent="0.3">
      <c r="A22" s="155" t="s">
        <v>537</v>
      </c>
      <c r="B22" s="1">
        <f>SUM(B18:B21)-B24</f>
        <v>23601.333333333332</v>
      </c>
      <c r="C22" s="1"/>
      <c r="D22" s="1">
        <f>SUM(D18:D21)-D24</f>
        <v>23039.5</v>
      </c>
      <c r="E22" s="1"/>
      <c r="F22" s="1">
        <f t="shared" ref="F22" si="8">SUM(F18:F21)-F24</f>
        <v>22626</v>
      </c>
      <c r="G22" s="1"/>
      <c r="H22" s="1">
        <f>SUM(H18:H21)-H24</f>
        <v>23039.5</v>
      </c>
      <c r="I22" s="1"/>
      <c r="J22" s="1">
        <f t="shared" ref="J22" si="9">SUM(J18:J21)-J24</f>
        <v>22143</v>
      </c>
      <c r="K22" s="1"/>
      <c r="L22" s="1">
        <f>SUM(L18:L21)-L24</f>
        <v>23039.5</v>
      </c>
      <c r="M22" s="1"/>
      <c r="N22" s="1">
        <f t="shared" ref="N22" si="10">SUM(N18:N21)-N24</f>
        <v>21177</v>
      </c>
      <c r="O22" s="1"/>
      <c r="P22" s="1">
        <f>SUM(P18:P21)-P24</f>
        <v>23039.5</v>
      </c>
      <c r="Q22" s="1"/>
      <c r="R22" s="1">
        <f t="shared" ref="R22" si="11">SUM(R18:R21)-R24</f>
        <v>19244</v>
      </c>
      <c r="S22" s="1"/>
      <c r="T22" s="1">
        <f>SUM(T18:T21)-T24</f>
        <v>23039.5</v>
      </c>
      <c r="V22" s="1">
        <f t="shared" ref="V22" si="12">SUM(V18:V21)-V24</f>
        <v>23110</v>
      </c>
    </row>
    <row r="23" spans="1:22" x14ac:dyDescent="0.3">
      <c r="A23" s="155" t="s">
        <v>538</v>
      </c>
      <c r="B23" s="1">
        <f>ROUND('Projection Setting'!$I$55*B17,0)</f>
        <v>16588</v>
      </c>
      <c r="C23" s="1"/>
      <c r="D23" s="1">
        <f>ROUND('Projection Setting'!$I$55*D17,0)</f>
        <v>16193</v>
      </c>
      <c r="E23" s="1"/>
      <c r="F23" s="1">
        <f>'Enrollment &amp; Staffing'!N$26</f>
        <v>15996</v>
      </c>
      <c r="G23" s="1"/>
      <c r="H23" s="1">
        <f>ROUND('Projection Setting'!$I$55*H17,0)</f>
        <v>16193</v>
      </c>
      <c r="I23" s="1"/>
      <c r="J23" s="1">
        <f>'Enrollment &amp; Staffing'!T$26</f>
        <v>15749</v>
      </c>
      <c r="K23" s="1"/>
      <c r="L23" s="1">
        <f>ROUND('Projection Setting'!$I$55*L17,0)</f>
        <v>16193</v>
      </c>
      <c r="M23" s="1"/>
      <c r="N23" s="1">
        <f>'Enrollment &amp; Staffing'!Z$26</f>
        <v>15255</v>
      </c>
      <c r="O23" s="1"/>
      <c r="P23" s="1">
        <f>ROUND('Projection Setting'!$I$55*P17,0)</f>
        <v>16193</v>
      </c>
      <c r="Q23" s="1"/>
      <c r="R23" s="1">
        <f>'Enrollment &amp; Staffing'!AF$26</f>
        <v>14267</v>
      </c>
      <c r="S23" s="1"/>
      <c r="T23" s="1">
        <f>ROUND('Projection Setting'!$I$55*T17,0)</f>
        <v>16193</v>
      </c>
      <c r="V23" s="1">
        <f>'Enrollment &amp; Staffing'!H$26</f>
        <v>16243</v>
      </c>
    </row>
    <row r="24" spans="1:22" x14ac:dyDescent="0.3">
      <c r="A24" s="155" t="s">
        <v>539</v>
      </c>
      <c r="B24" s="1">
        <f>ROUND('Projection Setting'!I$69*B17,0)</f>
        <v>4045</v>
      </c>
      <c r="C24" s="1"/>
      <c r="D24" s="490">
        <f>SUM('Projection Setting'!$I$66:$I$68)</f>
        <v>3948.9999999999991</v>
      </c>
      <c r="E24" s="1"/>
      <c r="F24" s="1">
        <f>'Enrollment &amp; Staffing'!N$27</f>
        <v>3862</v>
      </c>
      <c r="G24" s="1"/>
      <c r="H24" s="490">
        <f>SUM('Projection Setting'!$I$66:$I$68)</f>
        <v>3948.9999999999991</v>
      </c>
      <c r="I24" s="1"/>
      <c r="J24" s="1">
        <f>'Enrollment &amp; Staffing'!T$27</f>
        <v>3762</v>
      </c>
      <c r="K24" s="1"/>
      <c r="L24" s="490">
        <f>SUM('Projection Setting'!$I$66:$I$68)</f>
        <v>3948.9999999999991</v>
      </c>
      <c r="M24" s="1"/>
      <c r="N24" s="1">
        <f>'Enrollment &amp; Staffing'!Z$27</f>
        <v>3562</v>
      </c>
      <c r="O24" s="1"/>
      <c r="P24" s="490">
        <f>SUM('Projection Setting'!$I$66:$I$68)</f>
        <v>3948.9999999999991</v>
      </c>
      <c r="Q24" s="1"/>
      <c r="R24" s="1">
        <f>'Enrollment &amp; Staffing'!AF$27</f>
        <v>3162</v>
      </c>
      <c r="S24" s="1"/>
      <c r="T24" s="490">
        <f>SUM('Projection Setting'!$I$66:$I$68)</f>
        <v>3948.9999999999991</v>
      </c>
      <c r="V24" s="1">
        <f>'Enrollment &amp; Staffing'!H$27</f>
        <v>3962</v>
      </c>
    </row>
    <row r="25" spans="1:22" x14ac:dyDescent="0.3">
      <c r="A25" s="155" t="s">
        <v>540</v>
      </c>
      <c r="B25" s="1">
        <f>ROUND('Projection Setting'!$I$73*B17,0)</f>
        <v>2632</v>
      </c>
      <c r="C25" s="1"/>
      <c r="D25" s="1">
        <f>ROUND('Projection Setting'!$I$73*D17,0)</f>
        <v>2569</v>
      </c>
      <c r="E25" s="1"/>
      <c r="F25" s="1">
        <f>'Enrollment &amp; Staffing'!N$31</f>
        <v>2556</v>
      </c>
      <c r="G25" s="1"/>
      <c r="H25" s="1">
        <f>ROUND('Projection Setting'!$I$73*H17,0)</f>
        <v>2569</v>
      </c>
      <c r="I25" s="1"/>
      <c r="J25" s="1">
        <f>'Enrollment &amp; Staffing'!T$31</f>
        <v>2535</v>
      </c>
      <c r="K25" s="1"/>
      <c r="L25" s="1">
        <f>ROUND('Projection Setting'!$I$73*L17,0)</f>
        <v>2569</v>
      </c>
      <c r="M25" s="1"/>
      <c r="N25" s="1">
        <f>'Enrollment &amp; Staffing'!Z$31</f>
        <v>2493</v>
      </c>
      <c r="O25" s="1"/>
      <c r="P25" s="1">
        <f>ROUND('Projection Setting'!$I$73*P17,0)</f>
        <v>2569</v>
      </c>
      <c r="Q25" s="1"/>
      <c r="R25" s="1">
        <f>'Enrollment &amp; Staffing'!AF$31</f>
        <v>2410</v>
      </c>
      <c r="S25" s="1"/>
      <c r="T25" s="1">
        <f>ROUND('Projection Setting'!$I$73*T17,0)</f>
        <v>2569</v>
      </c>
      <c r="V25" s="1">
        <f>'Enrollment &amp; Staffing'!H$31</f>
        <v>2577</v>
      </c>
    </row>
    <row r="26" spans="1:22" x14ac:dyDescent="0.3">
      <c r="A26" s="155" t="s">
        <v>541</v>
      </c>
      <c r="B26" s="1">
        <f>'Projection Setting'!H$26</f>
        <v>11292.5</v>
      </c>
      <c r="C26" s="1"/>
      <c r="D26" s="1">
        <f>'Projection Setting'!$I$26</f>
        <v>11501.666666666668</v>
      </c>
      <c r="E26" s="1"/>
      <c r="F26" s="1">
        <f>'Enrollment &amp; Staffing'!N$33</f>
        <v>12388</v>
      </c>
      <c r="G26" s="1"/>
      <c r="H26" s="1">
        <f>'Projection Setting'!$I$26</f>
        <v>11501.666666666668</v>
      </c>
      <c r="I26" s="1"/>
      <c r="J26" s="1">
        <f>'Enrollment &amp; Staffing'!T$33</f>
        <v>12971</v>
      </c>
      <c r="K26" s="1"/>
      <c r="L26" s="1">
        <f>'Projection Setting'!$I$26</f>
        <v>11501.666666666668</v>
      </c>
      <c r="M26" s="1"/>
      <c r="N26" s="1">
        <f>'Enrollment &amp; Staffing'!Z$33</f>
        <v>14137</v>
      </c>
      <c r="O26" s="1"/>
      <c r="P26" s="1">
        <f>'Projection Setting'!$I$26</f>
        <v>11501.666666666668</v>
      </c>
      <c r="Q26" s="1"/>
      <c r="R26" s="1">
        <f>'Enrollment &amp; Staffing'!AF$33</f>
        <v>16470</v>
      </c>
      <c r="S26" s="1"/>
      <c r="T26" s="1">
        <f>'Projection Setting'!$I$26</f>
        <v>11501.666666666668</v>
      </c>
      <c r="V26" s="1">
        <f>'Enrollment &amp; Staffing'!H$33</f>
        <v>11804</v>
      </c>
    </row>
    <row r="27" spans="1:22" x14ac:dyDescent="0.3">
      <c r="A27" s="155" t="s">
        <v>542</v>
      </c>
      <c r="B27" s="1">
        <f>B26-B28</f>
        <v>9352.5</v>
      </c>
      <c r="C27" s="1"/>
      <c r="D27" s="1">
        <f>D26-D28</f>
        <v>9525.5000000000018</v>
      </c>
      <c r="E27" s="1"/>
      <c r="F27" s="1">
        <f t="shared" ref="F27" si="13">F26-F28</f>
        <v>10263</v>
      </c>
      <c r="G27" s="1"/>
      <c r="H27" s="1">
        <f>H26-H28</f>
        <v>9525.5000000000018</v>
      </c>
      <c r="I27" s="1"/>
      <c r="J27" s="1">
        <f t="shared" ref="J27" si="14">J26-J28</f>
        <v>10746</v>
      </c>
      <c r="K27" s="1"/>
      <c r="L27" s="1">
        <f>L26-L28</f>
        <v>9525.5000000000018</v>
      </c>
      <c r="M27" s="1"/>
      <c r="N27" s="1">
        <f t="shared" ref="N27" si="15">N26-N28</f>
        <v>11712</v>
      </c>
      <c r="O27" s="1"/>
      <c r="P27" s="1">
        <f>P26-P28</f>
        <v>9525.5000000000018</v>
      </c>
      <c r="Q27" s="1"/>
      <c r="R27" s="1">
        <f t="shared" ref="R27" si="16">R26-R28</f>
        <v>13645</v>
      </c>
      <c r="S27" s="1"/>
      <c r="T27" s="1">
        <f>T26-T28</f>
        <v>9525.5000000000018</v>
      </c>
      <c r="V27" s="1">
        <f t="shared" ref="V27" si="17">V26-V28</f>
        <v>9779</v>
      </c>
    </row>
    <row r="28" spans="1:22" x14ac:dyDescent="0.3">
      <c r="A28" s="155" t="s">
        <v>543</v>
      </c>
      <c r="B28" s="1">
        <f>ROUND('Projection Setting'!I$65*B26,0)</f>
        <v>1940</v>
      </c>
      <c r="C28" s="1"/>
      <c r="D28" s="490">
        <f>SUM('Projection Setting'!$I$62:$I$64)</f>
        <v>1976.1666666666667</v>
      </c>
      <c r="E28" s="1"/>
      <c r="F28" s="1">
        <f>'Enrollment &amp; Staffing'!N$50</f>
        <v>2125</v>
      </c>
      <c r="G28" s="1"/>
      <c r="H28" s="490">
        <f>SUM('Projection Setting'!$I$62:$I$64)</f>
        <v>1976.1666666666667</v>
      </c>
      <c r="I28" s="1"/>
      <c r="J28" s="1">
        <f>'Enrollment &amp; Staffing'!T$50</f>
        <v>2225</v>
      </c>
      <c r="K28" s="1"/>
      <c r="L28" s="490">
        <f>SUM('Projection Setting'!$I$62:$I$64)</f>
        <v>1976.1666666666667</v>
      </c>
      <c r="M28" s="1"/>
      <c r="N28" s="1">
        <f>'Enrollment &amp; Staffing'!Z$50</f>
        <v>2425</v>
      </c>
      <c r="O28" s="1"/>
      <c r="P28" s="490">
        <f>SUM('Projection Setting'!$I$62:$I$64)</f>
        <v>1976.1666666666667</v>
      </c>
      <c r="Q28" s="1"/>
      <c r="R28" s="1">
        <f>'Enrollment &amp; Staffing'!AF$50</f>
        <v>2825</v>
      </c>
      <c r="S28" s="1"/>
      <c r="T28" s="490">
        <f>SUM('Projection Setting'!$I$62:$I$64)</f>
        <v>1976.1666666666667</v>
      </c>
      <c r="V28" s="1">
        <f>'Enrollment &amp; Staffing'!H$50</f>
        <v>2025</v>
      </c>
    </row>
    <row r="29" spans="1:22" x14ac:dyDescent="0.3">
      <c r="A29" s="154" t="s">
        <v>313</v>
      </c>
      <c r="B29" s="1">
        <f>'Enrollment &amp; Staffing'!D58</f>
        <v>46.8333333333334</v>
      </c>
      <c r="C29" s="1"/>
      <c r="D29" s="1">
        <f>'Enrollment &amp; Staffing'!L58</f>
        <v>47</v>
      </c>
      <c r="E29" s="1"/>
      <c r="F29" s="1">
        <f>'Enrollment &amp; Staffing'!P58</f>
        <v>46</v>
      </c>
      <c r="G29" s="1"/>
      <c r="H29" s="1">
        <f>'Enrollment &amp; Staffing'!R58</f>
        <v>47</v>
      </c>
      <c r="I29" s="1"/>
      <c r="J29" s="1">
        <f>'Enrollment &amp; Staffing'!V58</f>
        <v>45</v>
      </c>
      <c r="K29" s="1"/>
      <c r="L29" s="1">
        <f>'Enrollment &amp; Staffing'!X58</f>
        <v>47</v>
      </c>
      <c r="M29" s="1"/>
      <c r="N29" s="1">
        <f>'Enrollment &amp; Staffing'!AB58</f>
        <v>43.400000000000006</v>
      </c>
      <c r="O29" s="1"/>
      <c r="P29" s="1">
        <f>'Enrollment &amp; Staffing'!AD58</f>
        <v>47</v>
      </c>
      <c r="Q29" s="1"/>
      <c r="R29" s="1">
        <f>'Enrollment &amp; Staffing'!AH58</f>
        <v>39</v>
      </c>
      <c r="S29" s="1"/>
      <c r="T29" s="1">
        <f>'Enrollment &amp; Staffing'!F58</f>
        <v>46.8333333333334</v>
      </c>
      <c r="V29" s="1">
        <f>'Enrollment &amp; Staffing'!J58</f>
        <v>46.8333333333334</v>
      </c>
    </row>
    <row r="30" spans="1:22" x14ac:dyDescent="0.3">
      <c r="A30" s="155" t="s">
        <v>314</v>
      </c>
      <c r="B30" s="1">
        <f>'Enrollment &amp; Staffing'!D59</f>
        <v>1.3333333333333333</v>
      </c>
      <c r="C30" s="1"/>
      <c r="D30" s="490">
        <f>'Enrollment &amp; Staffing'!L59</f>
        <v>1</v>
      </c>
      <c r="E30" s="1"/>
      <c r="F30" s="490">
        <f>'Enrollment &amp; Staffing'!P59</f>
        <v>1</v>
      </c>
      <c r="G30" s="1"/>
      <c r="H30" s="490">
        <f>'Enrollment &amp; Staffing'!R59</f>
        <v>1</v>
      </c>
      <c r="I30" s="1"/>
      <c r="J30" s="490">
        <f>'Enrollment &amp; Staffing'!V59</f>
        <v>1</v>
      </c>
      <c r="K30" s="1"/>
      <c r="L30" s="490">
        <f>'Enrollment &amp; Staffing'!X59</f>
        <v>1</v>
      </c>
      <c r="M30" s="1"/>
      <c r="N30" s="490">
        <f>'Enrollment &amp; Staffing'!AB59</f>
        <v>1</v>
      </c>
      <c r="O30" s="1"/>
      <c r="P30" s="490">
        <f>'Enrollment &amp; Staffing'!AD59</f>
        <v>1</v>
      </c>
      <c r="Q30" s="1"/>
      <c r="R30" s="490">
        <f>'Enrollment &amp; Staffing'!AH59</f>
        <v>1</v>
      </c>
      <c r="S30" s="1"/>
      <c r="T30" s="490">
        <f>'Enrollment &amp; Staffing'!F59</f>
        <v>1.3333333333333333</v>
      </c>
      <c r="V30" s="490">
        <f>'Enrollment &amp; Staffing'!J59</f>
        <v>1.3333333333333333</v>
      </c>
    </row>
    <row r="31" spans="1:22" x14ac:dyDescent="0.3">
      <c r="A31" s="155" t="s">
        <v>330</v>
      </c>
      <c r="B31" s="1">
        <f>'Enrollment &amp; Staffing'!D60</f>
        <v>45.500000000000064</v>
      </c>
      <c r="C31" s="1"/>
      <c r="D31" s="490">
        <f>'Enrollment &amp; Staffing'!L60</f>
        <v>46</v>
      </c>
      <c r="E31" s="1"/>
      <c r="F31" s="490">
        <f>'Enrollment &amp; Staffing'!P60</f>
        <v>45</v>
      </c>
      <c r="G31" s="1"/>
      <c r="H31" s="490">
        <f>'Enrollment &amp; Staffing'!R60</f>
        <v>46</v>
      </c>
      <c r="I31" s="1"/>
      <c r="J31" s="490">
        <f>'Enrollment &amp; Staffing'!V60</f>
        <v>44</v>
      </c>
      <c r="K31" s="1"/>
      <c r="L31" s="490">
        <f>'Enrollment &amp; Staffing'!X60</f>
        <v>46</v>
      </c>
      <c r="M31" s="1"/>
      <c r="N31" s="490">
        <f>'Enrollment &amp; Staffing'!AB60</f>
        <v>42.400000000000006</v>
      </c>
      <c r="O31" s="1"/>
      <c r="P31" s="490">
        <f>'Enrollment &amp; Staffing'!AD60</f>
        <v>46</v>
      </c>
      <c r="Q31" s="1"/>
      <c r="R31" s="490">
        <f>'Enrollment &amp; Staffing'!AH60</f>
        <v>38</v>
      </c>
      <c r="S31" s="1"/>
      <c r="T31" s="490">
        <f>'Enrollment &amp; Staffing'!F60</f>
        <v>45.500000000000064</v>
      </c>
      <c r="V31" s="490">
        <f>'Enrollment &amp; Staffing'!J60</f>
        <v>45.500000000000064</v>
      </c>
    </row>
    <row r="32" spans="1:22" x14ac:dyDescent="0.3">
      <c r="A32" s="155" t="s">
        <v>323</v>
      </c>
      <c r="B32" s="1">
        <f>'Enrollment &amp; Staffing'!D61</f>
        <v>25.682081807081868</v>
      </c>
      <c r="C32" s="1"/>
      <c r="D32" s="490">
        <f>'Enrollment &amp; Staffing'!L61</f>
        <v>26</v>
      </c>
      <c r="E32" s="1"/>
      <c r="F32" s="490">
        <f>'Enrollment &amp; Staffing'!P61</f>
        <v>25</v>
      </c>
      <c r="G32" s="1"/>
      <c r="H32" s="490">
        <f>'Enrollment &amp; Staffing'!R61</f>
        <v>26</v>
      </c>
      <c r="I32" s="1"/>
      <c r="J32" s="490">
        <f>'Enrollment &amp; Staffing'!V61</f>
        <v>24</v>
      </c>
      <c r="K32" s="1"/>
      <c r="L32" s="490">
        <f>'Enrollment &amp; Staffing'!X61</f>
        <v>26</v>
      </c>
      <c r="M32" s="1"/>
      <c r="N32" s="490">
        <f>'Enrollment &amp; Staffing'!AB61</f>
        <v>23.400000000000002</v>
      </c>
      <c r="O32" s="1"/>
      <c r="P32" s="490">
        <f>'Enrollment &amp; Staffing'!AD61</f>
        <v>26</v>
      </c>
      <c r="Q32" s="1"/>
      <c r="R32" s="490">
        <f>'Enrollment &amp; Staffing'!AH61</f>
        <v>21</v>
      </c>
      <c r="S32" s="1"/>
      <c r="T32" s="490">
        <f>'Enrollment &amp; Staffing'!F61</f>
        <v>25.682081807081868</v>
      </c>
      <c r="V32" s="490">
        <f>'Enrollment &amp; Staffing'!J61</f>
        <v>25.682081807081868</v>
      </c>
    </row>
    <row r="33" spans="1:22" x14ac:dyDescent="0.3">
      <c r="A33" s="155" t="s">
        <v>324</v>
      </c>
      <c r="B33" s="1">
        <f>'Enrollment &amp; Staffing'!D62</f>
        <v>10.68727106227106</v>
      </c>
      <c r="C33" s="1"/>
      <c r="D33" s="490">
        <f>'Enrollment &amp; Staffing'!L62</f>
        <v>11</v>
      </c>
      <c r="E33" s="1"/>
      <c r="F33" s="490">
        <f>'Enrollment &amp; Staffing'!P62</f>
        <v>11</v>
      </c>
      <c r="G33" s="1"/>
      <c r="H33" s="490">
        <f>'Enrollment &amp; Staffing'!R62</f>
        <v>11</v>
      </c>
      <c r="I33" s="1"/>
      <c r="J33" s="490">
        <f>'Enrollment &amp; Staffing'!V62</f>
        <v>11</v>
      </c>
      <c r="K33" s="1"/>
      <c r="L33" s="490">
        <f>'Enrollment &amp; Staffing'!X62</f>
        <v>11</v>
      </c>
      <c r="M33" s="1"/>
      <c r="N33" s="490">
        <f>'Enrollment &amp; Staffing'!AB62</f>
        <v>11</v>
      </c>
      <c r="O33" s="1"/>
      <c r="P33" s="490">
        <f>'Enrollment &amp; Staffing'!AD62</f>
        <v>11</v>
      </c>
      <c r="Q33" s="1"/>
      <c r="R33" s="490">
        <f>'Enrollment &amp; Staffing'!AH62</f>
        <v>10</v>
      </c>
      <c r="S33" s="1"/>
      <c r="T33" s="490">
        <f>'Enrollment &amp; Staffing'!F62</f>
        <v>10.68727106227106</v>
      </c>
      <c r="V33" s="490">
        <f>'Enrollment &amp; Staffing'!J62</f>
        <v>10.68727106227106</v>
      </c>
    </row>
    <row r="34" spans="1:22" x14ac:dyDescent="0.3">
      <c r="A34" s="155" t="s">
        <v>325</v>
      </c>
      <c r="B34" s="1">
        <f>'Enrollment &amp; Staffing'!D63</f>
        <v>9.130647130647132</v>
      </c>
      <c r="C34" s="1"/>
      <c r="D34" s="490">
        <f>'Enrollment &amp; Staffing'!L63</f>
        <v>9</v>
      </c>
      <c r="E34" s="1"/>
      <c r="F34" s="490">
        <f>'Enrollment &amp; Staffing'!P63</f>
        <v>9</v>
      </c>
      <c r="G34" s="1"/>
      <c r="H34" s="490">
        <f>'Enrollment &amp; Staffing'!R63</f>
        <v>9</v>
      </c>
      <c r="I34" s="1"/>
      <c r="J34" s="490">
        <f>'Enrollment &amp; Staffing'!V63</f>
        <v>9</v>
      </c>
      <c r="K34" s="1"/>
      <c r="L34" s="490">
        <f>'Enrollment &amp; Staffing'!X63</f>
        <v>9</v>
      </c>
      <c r="M34" s="1"/>
      <c r="N34" s="490">
        <f>'Enrollment &amp; Staffing'!AB63</f>
        <v>8</v>
      </c>
      <c r="O34" s="1"/>
      <c r="P34" s="490">
        <f>'Enrollment &amp; Staffing'!AD63</f>
        <v>9</v>
      </c>
      <c r="Q34" s="1"/>
      <c r="R34" s="490">
        <f>'Enrollment &amp; Staffing'!AH63</f>
        <v>7</v>
      </c>
      <c r="S34" s="1"/>
      <c r="T34" s="490">
        <f>'Enrollment &amp; Staffing'!F63</f>
        <v>9.130647130647132</v>
      </c>
      <c r="V34" s="490">
        <f>'Enrollment &amp; Staffing'!J63</f>
        <v>9.130647130647132</v>
      </c>
    </row>
    <row r="35" spans="1:22" x14ac:dyDescent="0.3">
      <c r="A35" s="154" t="s">
        <v>315</v>
      </c>
      <c r="B35" s="1">
        <f>'Enrollment &amp; Staffing'!D67</f>
        <v>362</v>
      </c>
      <c r="C35" s="1"/>
      <c r="D35" s="1">
        <f>'Enrollment &amp; Staffing'!L67</f>
        <v>358.84995382626357</v>
      </c>
      <c r="E35" s="1"/>
      <c r="F35" s="1">
        <f>'Enrollment &amp; Staffing'!P67</f>
        <v>349.26817706088775</v>
      </c>
      <c r="G35" s="1"/>
      <c r="H35" s="1">
        <f>'Enrollment &amp; Staffing'!R67</f>
        <v>356.70727082435508</v>
      </c>
      <c r="I35" s="1"/>
      <c r="J35" s="1">
        <f>'Enrollment &amp; Staffing'!V67</f>
        <v>336.53267253586154</v>
      </c>
      <c r="K35" s="1"/>
      <c r="L35" s="1">
        <f>'Enrollment &amp; Staffing'!X67</f>
        <v>352.41086006279625</v>
      </c>
      <c r="M35" s="1"/>
      <c r="N35" s="1">
        <f>'Enrollment &amp; Staffing'!AB67</f>
        <v>312.06166348580922</v>
      </c>
      <c r="O35" s="1"/>
      <c r="P35" s="1">
        <f>'Enrollment &amp; Staffing'!AD67</f>
        <v>343.82908329742042</v>
      </c>
      <c r="Q35" s="1"/>
      <c r="R35" s="1">
        <f>'Enrollment &amp; Staffing'!AH67</f>
        <v>263.11964538570459</v>
      </c>
      <c r="S35" s="1"/>
      <c r="T35" s="1">
        <f>'Enrollment &amp; Staffing'!F67</f>
        <v>362</v>
      </c>
      <c r="V35" s="1">
        <f>'Enrollment &amp; Staffing'!J67</f>
        <v>362</v>
      </c>
    </row>
    <row r="36" spans="1:22" x14ac:dyDescent="0.3">
      <c r="A36" s="156" t="s">
        <v>322</v>
      </c>
      <c r="B36" s="1">
        <f>SUM(B37:B38)</f>
        <v>44</v>
      </c>
      <c r="C36" s="1"/>
      <c r="D36" s="1">
        <f t="shared" ref="D36:P36" si="18">SUM(D37:D38)</f>
        <v>43.705177614972598</v>
      </c>
      <c r="E36" s="1"/>
      <c r="F36" s="1">
        <f t="shared" si="18"/>
        <v>42.528412239118381</v>
      </c>
      <c r="G36" s="1"/>
      <c r="H36" s="1">
        <f t="shared" si="18"/>
        <v>43.411364895647353</v>
      </c>
      <c r="I36" s="1"/>
      <c r="J36" s="1">
        <f t="shared" si="18"/>
        <v>41.056319645385699</v>
      </c>
      <c r="K36" s="1"/>
      <c r="L36" s="1">
        <f t="shared" si="18"/>
        <v>42.822224958443634</v>
      </c>
      <c r="M36" s="1"/>
      <c r="N36" s="1">
        <f t="shared" si="18"/>
        <v>38.112134457920334</v>
      </c>
      <c r="O36" s="1"/>
      <c r="P36" s="1">
        <f t="shared" si="18"/>
        <v>41.645459582589417</v>
      </c>
      <c r="Q36" s="1"/>
      <c r="R36" s="1">
        <f>SUM(R37:R38)</f>
        <v>32.223764082989597</v>
      </c>
      <c r="S36" s="1"/>
      <c r="T36" s="1">
        <f>SUM(T37:T38)</f>
        <v>44</v>
      </c>
      <c r="V36" s="1">
        <f>SUM(V37:V38)</f>
        <v>44</v>
      </c>
    </row>
    <row r="37" spans="1:22" x14ac:dyDescent="0.3">
      <c r="A37" s="155" t="s">
        <v>316</v>
      </c>
      <c r="B37" s="1">
        <f>'Enrollment &amp; Staffing'!D68</f>
        <v>3</v>
      </c>
      <c r="C37" s="1"/>
      <c r="D37" s="1">
        <f>'Enrollment &amp; Staffing'!L68</f>
        <v>3</v>
      </c>
      <c r="E37" s="1"/>
      <c r="F37" s="1">
        <f>'Enrollment &amp; Staffing'!P68</f>
        <v>3</v>
      </c>
      <c r="G37" s="1"/>
      <c r="H37" s="1">
        <f>'Enrollment &amp; Staffing'!R68</f>
        <v>3</v>
      </c>
      <c r="I37" s="1"/>
      <c r="J37" s="1">
        <f>'Enrollment &amp; Staffing'!V68</f>
        <v>3</v>
      </c>
      <c r="K37" s="1"/>
      <c r="L37" s="1">
        <f>'Enrollment &amp; Staffing'!X68</f>
        <v>3</v>
      </c>
      <c r="M37" s="1"/>
      <c r="N37" s="1">
        <f>'Enrollment &amp; Staffing'!AB68</f>
        <v>3</v>
      </c>
      <c r="O37" s="1"/>
      <c r="P37" s="1">
        <f>'Enrollment &amp; Staffing'!AD68</f>
        <v>3</v>
      </c>
      <c r="Q37" s="1"/>
      <c r="R37" s="1">
        <f>'Enrollment &amp; Staffing'!AH68</f>
        <v>3</v>
      </c>
      <c r="S37" s="1"/>
      <c r="T37" s="1">
        <f>'Enrollment &amp; Staffing'!F68</f>
        <v>3</v>
      </c>
      <c r="V37" s="1">
        <f>'Enrollment &amp; Staffing'!J68</f>
        <v>3</v>
      </c>
    </row>
    <row r="38" spans="1:22" x14ac:dyDescent="0.3">
      <c r="A38" s="155" t="s">
        <v>320</v>
      </c>
      <c r="B38" s="1">
        <f>'Enrollment &amp; Staffing'!D69</f>
        <v>41</v>
      </c>
      <c r="C38" s="1"/>
      <c r="D38" s="1">
        <f>'Enrollment &amp; Staffing'!L69</f>
        <v>40.705177614972598</v>
      </c>
      <c r="E38" s="1"/>
      <c r="F38" s="1">
        <f>'Enrollment &amp; Staffing'!P69</f>
        <v>39.528412239118381</v>
      </c>
      <c r="G38" s="1"/>
      <c r="H38" s="1">
        <f>'Enrollment &amp; Staffing'!R69</f>
        <v>40.411364895647353</v>
      </c>
      <c r="I38" s="1"/>
      <c r="J38" s="1">
        <f>'Enrollment &amp; Staffing'!V69</f>
        <v>38.056319645385699</v>
      </c>
      <c r="K38" s="1"/>
      <c r="L38" s="1">
        <f>'Enrollment &amp; Staffing'!X69</f>
        <v>39.822224958443634</v>
      </c>
      <c r="M38" s="1"/>
      <c r="N38" s="1">
        <f>'Enrollment &amp; Staffing'!AB69</f>
        <v>35.112134457920334</v>
      </c>
      <c r="O38" s="1"/>
      <c r="P38" s="1">
        <f>'Enrollment &amp; Staffing'!AD69</f>
        <v>38.645459582589417</v>
      </c>
      <c r="Q38" s="1"/>
      <c r="R38" s="1">
        <f>'Enrollment &amp; Staffing'!AH69</f>
        <v>29.223764082989597</v>
      </c>
      <c r="S38" s="1"/>
      <c r="T38" s="1">
        <f>'Enrollment &amp; Staffing'!F69</f>
        <v>41</v>
      </c>
      <c r="V38" s="1">
        <f>'Enrollment &amp; Staffing'!J69</f>
        <v>41</v>
      </c>
    </row>
    <row r="39" spans="1:22" x14ac:dyDescent="0.3">
      <c r="A39" s="157" t="s">
        <v>321</v>
      </c>
      <c r="B39" s="1">
        <f>SUM(B40:B42)</f>
        <v>318</v>
      </c>
      <c r="C39" s="1"/>
      <c r="D39" s="1">
        <f t="shared" ref="D39:P39" si="19">SUM(D40:D42)</f>
        <v>315.144776211291</v>
      </c>
      <c r="E39" s="1"/>
      <c r="F39" s="1">
        <f t="shared" si="19"/>
        <v>306.73976482176931</v>
      </c>
      <c r="G39" s="1"/>
      <c r="H39" s="1">
        <f t="shared" si="19"/>
        <v>313.29590592870773</v>
      </c>
      <c r="I39" s="1"/>
      <c r="J39" s="1">
        <f t="shared" si="19"/>
        <v>295.47635289047582</v>
      </c>
      <c r="K39" s="1"/>
      <c r="L39" s="1">
        <f t="shared" si="19"/>
        <v>309.58863510435265</v>
      </c>
      <c r="M39" s="1"/>
      <c r="N39" s="1">
        <f t="shared" si="19"/>
        <v>273.9495290278889</v>
      </c>
      <c r="O39" s="1"/>
      <c r="P39" s="1">
        <f t="shared" si="19"/>
        <v>302.18362371483101</v>
      </c>
      <c r="Q39" s="1"/>
      <c r="R39" s="1">
        <f>SUM(R40:R42)</f>
        <v>230.895881302715</v>
      </c>
      <c r="S39" s="1"/>
      <c r="T39" s="1">
        <f>SUM(T40:T42)</f>
        <v>318</v>
      </c>
      <c r="V39" s="1">
        <f>SUM(V40:V42)</f>
        <v>318</v>
      </c>
    </row>
    <row r="40" spans="1:22" x14ac:dyDescent="0.3">
      <c r="A40" s="155" t="s">
        <v>317</v>
      </c>
      <c r="B40" s="1">
        <f>'Enrollment &amp; Staffing'!D70</f>
        <v>47</v>
      </c>
      <c r="C40" s="1"/>
      <c r="D40" s="1">
        <f>'Enrollment &amp; Staffing'!L70</f>
        <v>46</v>
      </c>
      <c r="E40" s="1"/>
      <c r="F40" s="1">
        <f>'Enrollment &amp; Staffing'!P70</f>
        <v>45</v>
      </c>
      <c r="G40" s="1"/>
      <c r="H40" s="1">
        <f>'Enrollment &amp; Staffing'!R70</f>
        <v>46</v>
      </c>
      <c r="I40" s="1"/>
      <c r="J40" s="1">
        <f>'Enrollment &amp; Staffing'!V70</f>
        <v>44</v>
      </c>
      <c r="K40" s="1"/>
      <c r="L40" s="1">
        <f>'Enrollment &amp; Staffing'!X70</f>
        <v>46</v>
      </c>
      <c r="M40" s="1"/>
      <c r="N40" s="1">
        <f>'Enrollment &amp; Staffing'!AB70</f>
        <v>42</v>
      </c>
      <c r="O40" s="1"/>
      <c r="P40" s="1">
        <f>'Enrollment &amp; Staffing'!AD70</f>
        <v>46</v>
      </c>
      <c r="Q40" s="1"/>
      <c r="R40" s="1">
        <f>'Enrollment &amp; Staffing'!AH70</f>
        <v>38</v>
      </c>
      <c r="S40" s="1"/>
      <c r="T40" s="1">
        <f>'Enrollment &amp; Staffing'!F70</f>
        <v>47</v>
      </c>
      <c r="V40" s="1">
        <f>'Enrollment &amp; Staffing'!J70</f>
        <v>47</v>
      </c>
    </row>
    <row r="41" spans="1:22" x14ac:dyDescent="0.3">
      <c r="A41" s="155" t="s">
        <v>318</v>
      </c>
      <c r="B41" s="1">
        <f>'Enrollment &amp; Staffing'!D71</f>
        <v>13</v>
      </c>
      <c r="C41" s="1"/>
      <c r="D41" s="1">
        <f>'Enrollment &amp; Staffing'!L71</f>
        <v>13</v>
      </c>
      <c r="E41" s="1"/>
      <c r="F41" s="1">
        <f>'Enrollment &amp; Staffing'!P71</f>
        <v>13</v>
      </c>
      <c r="G41" s="1"/>
      <c r="H41" s="1">
        <f>'Enrollment &amp; Staffing'!R71</f>
        <v>13</v>
      </c>
      <c r="I41" s="1"/>
      <c r="J41" s="1">
        <f>'Enrollment &amp; Staffing'!V71</f>
        <v>12</v>
      </c>
      <c r="K41" s="1"/>
      <c r="L41" s="1">
        <f>'Enrollment &amp; Staffing'!X71</f>
        <v>13</v>
      </c>
      <c r="M41" s="1"/>
      <c r="N41" s="1">
        <f>'Enrollment &amp; Staffing'!AB71</f>
        <v>11</v>
      </c>
      <c r="O41" s="1"/>
      <c r="P41" s="1">
        <f>'Enrollment &amp; Staffing'!AD71</f>
        <v>13</v>
      </c>
      <c r="Q41" s="1"/>
      <c r="R41" s="1">
        <f>'Enrollment &amp; Staffing'!AH71</f>
        <v>9</v>
      </c>
      <c r="S41" s="1"/>
      <c r="T41" s="1">
        <f>'Enrollment &amp; Staffing'!F71</f>
        <v>13</v>
      </c>
      <c r="V41" s="1">
        <f>'Enrollment &amp; Staffing'!J71</f>
        <v>13</v>
      </c>
    </row>
    <row r="42" spans="1:22" x14ac:dyDescent="0.3">
      <c r="A42" s="155" t="s">
        <v>319</v>
      </c>
      <c r="B42" s="1">
        <f>'Enrollment &amp; Staffing'!D72</f>
        <v>258</v>
      </c>
      <c r="C42" s="1"/>
      <c r="D42" s="1">
        <f>'Enrollment &amp; Staffing'!L72</f>
        <v>256.144776211291</v>
      </c>
      <c r="E42" s="1"/>
      <c r="F42" s="1">
        <f>'Enrollment &amp; Staffing'!P72</f>
        <v>248.73976482176934</v>
      </c>
      <c r="G42" s="1"/>
      <c r="H42" s="1">
        <f>'Enrollment &amp; Staffing'!R72</f>
        <v>254.29590592870775</v>
      </c>
      <c r="I42" s="1"/>
      <c r="J42" s="1">
        <f>'Enrollment &amp; Staffing'!V72</f>
        <v>239.47635289047585</v>
      </c>
      <c r="K42" s="1"/>
      <c r="L42" s="1">
        <f>'Enrollment &amp; Staffing'!X72</f>
        <v>250.58863510435265</v>
      </c>
      <c r="M42" s="1"/>
      <c r="N42" s="1">
        <f>'Enrollment &amp; Staffing'!AB72</f>
        <v>220.9495290278889</v>
      </c>
      <c r="O42" s="1"/>
      <c r="P42" s="1">
        <f>'Enrollment &amp; Staffing'!AD72</f>
        <v>243.18362371483099</v>
      </c>
      <c r="Q42" s="1"/>
      <c r="R42" s="1">
        <f>'Enrollment &amp; Staffing'!AH72</f>
        <v>183.895881302715</v>
      </c>
      <c r="S42" s="1"/>
      <c r="T42" s="1">
        <f>'Enrollment &amp; Staffing'!F72</f>
        <v>258</v>
      </c>
      <c r="V42" s="1">
        <f>'Enrollment &amp; Staffing'!J72</f>
        <v>258</v>
      </c>
    </row>
    <row r="43" spans="1:22" x14ac:dyDescent="0.3">
      <c r="A43" s="154" t="s">
        <v>326</v>
      </c>
      <c r="B43" s="1">
        <f>'Enrollment &amp; Staffing'!D75</f>
        <v>1474.5283333333336</v>
      </c>
      <c r="C43" s="1"/>
      <c r="D43" s="1">
        <f>'Enrollment &amp; Staffing'!L75</f>
        <v>1445</v>
      </c>
      <c r="E43" s="1"/>
      <c r="F43" s="1">
        <f>'Enrollment &amp; Staffing'!P75</f>
        <v>1414</v>
      </c>
      <c r="G43" s="1"/>
      <c r="H43" s="1">
        <f>'Enrollment &amp; Staffing'!R75</f>
        <v>1445</v>
      </c>
      <c r="I43" s="1"/>
      <c r="J43" s="1">
        <f>'Enrollment &amp; Staffing'!V75</f>
        <v>1385</v>
      </c>
      <c r="K43" s="1"/>
      <c r="L43" s="1">
        <f>'Enrollment &amp; Staffing'!X75</f>
        <v>1445</v>
      </c>
      <c r="M43" s="1"/>
      <c r="N43" s="1">
        <f>'Enrollment &amp; Staffing'!AB75</f>
        <v>1323</v>
      </c>
      <c r="O43" s="1"/>
      <c r="P43" s="1">
        <f>'Enrollment &amp; Staffing'!AD75</f>
        <v>1445</v>
      </c>
      <c r="Q43" s="1"/>
      <c r="R43" s="1">
        <f>'Enrollment &amp; Staffing'!AH75</f>
        <v>1200</v>
      </c>
      <c r="S43" s="1"/>
      <c r="T43" s="1">
        <f>'Enrollment &amp; Staffing'!F75</f>
        <v>1445</v>
      </c>
      <c r="V43" s="1">
        <f>'Enrollment &amp; Staffing'!J75</f>
        <v>1444</v>
      </c>
    </row>
    <row r="44" spans="1:22" x14ac:dyDescent="0.3">
      <c r="A44" s="155" t="s">
        <v>509</v>
      </c>
      <c r="B44" s="1">
        <f>'Enrollment &amp; Staffing'!D76</f>
        <v>120.84333333333332</v>
      </c>
      <c r="C44" s="1"/>
      <c r="D44" s="1">
        <f>'Enrollment &amp; Staffing'!L76</f>
        <v>116</v>
      </c>
      <c r="E44" s="1"/>
      <c r="F44" s="1">
        <f>'Enrollment &amp; Staffing'!P76</f>
        <v>111</v>
      </c>
      <c r="G44" s="1"/>
      <c r="H44" s="1">
        <f>'Enrollment &amp; Staffing'!R76</f>
        <v>116</v>
      </c>
      <c r="I44" s="1"/>
      <c r="J44" s="1">
        <f>'Enrollment &amp; Staffing'!V76</f>
        <v>110</v>
      </c>
      <c r="K44" s="1"/>
      <c r="L44" s="1">
        <f>'Enrollment &amp; Staffing'!X76</f>
        <v>116</v>
      </c>
      <c r="M44" s="1"/>
      <c r="N44" s="1">
        <f>'Enrollment &amp; Staffing'!AB76</f>
        <v>109</v>
      </c>
      <c r="O44" s="1"/>
      <c r="P44" s="1">
        <f>'Enrollment &amp; Staffing'!AD76</f>
        <v>116</v>
      </c>
      <c r="Q44" s="1"/>
      <c r="R44" s="1">
        <f>'Enrollment &amp; Staffing'!AH76</f>
        <v>106</v>
      </c>
      <c r="S44" s="1"/>
      <c r="T44" s="1">
        <f>'Enrollment &amp; Staffing'!F76</f>
        <v>116</v>
      </c>
      <c r="V44" s="1">
        <f>'Enrollment &amp; Staffing'!J76</f>
        <v>111</v>
      </c>
    </row>
    <row r="45" spans="1:22" x14ac:dyDescent="0.3">
      <c r="A45" s="155" t="s">
        <v>510</v>
      </c>
      <c r="B45" s="1">
        <f>'Enrollment &amp; Staffing'!D77</f>
        <v>369.21333333333331</v>
      </c>
      <c r="C45" s="1"/>
      <c r="D45" s="1">
        <f>'Enrollment &amp; Staffing'!L77</f>
        <v>369</v>
      </c>
      <c r="E45" s="1"/>
      <c r="F45" s="1">
        <f>'Enrollment &amp; Staffing'!P77</f>
        <v>352</v>
      </c>
      <c r="G45" s="1"/>
      <c r="H45" s="1">
        <f>'Enrollment &amp; Staffing'!R77</f>
        <v>369</v>
      </c>
      <c r="I45" s="1"/>
      <c r="J45" s="1">
        <f>'Enrollment &amp; Staffing'!V77</f>
        <v>346</v>
      </c>
      <c r="K45" s="1"/>
      <c r="L45" s="1">
        <f>'Enrollment &amp; Staffing'!X77</f>
        <v>369</v>
      </c>
      <c r="M45" s="1"/>
      <c r="N45" s="1">
        <f>'Enrollment &amp; Staffing'!AB77</f>
        <v>333</v>
      </c>
      <c r="O45" s="1"/>
      <c r="P45" s="1">
        <f>'Enrollment &amp; Staffing'!AD77</f>
        <v>369</v>
      </c>
      <c r="Q45" s="1"/>
      <c r="R45" s="1">
        <f>'Enrollment &amp; Staffing'!AH77</f>
        <v>306</v>
      </c>
      <c r="S45" s="1"/>
      <c r="T45" s="1">
        <f>'Enrollment &amp; Staffing'!F77</f>
        <v>369</v>
      </c>
      <c r="V45" s="1">
        <f>'Enrollment &amp; Staffing'!J77</f>
        <v>359</v>
      </c>
    </row>
    <row r="46" spans="1:22" x14ac:dyDescent="0.3">
      <c r="A46" s="155" t="s">
        <v>511</v>
      </c>
      <c r="B46" s="1">
        <f>'Enrollment &amp; Staffing'!D78</f>
        <v>300.66833333333335</v>
      </c>
      <c r="C46" s="1"/>
      <c r="D46" s="1">
        <f>'Enrollment &amp; Staffing'!L78</f>
        <v>294</v>
      </c>
      <c r="E46" s="1"/>
      <c r="F46" s="1">
        <f>'Enrollment &amp; Staffing'!P78</f>
        <v>307</v>
      </c>
      <c r="G46" s="1"/>
      <c r="H46" s="1">
        <f>'Enrollment &amp; Staffing'!R78</f>
        <v>294</v>
      </c>
      <c r="I46" s="1"/>
      <c r="J46" s="1">
        <f>'Enrollment &amp; Staffing'!V78</f>
        <v>299</v>
      </c>
      <c r="K46" s="1"/>
      <c r="L46" s="1">
        <f>'Enrollment &amp; Staffing'!X78</f>
        <v>294</v>
      </c>
      <c r="M46" s="1"/>
      <c r="N46" s="1">
        <f>'Enrollment &amp; Staffing'!AB78</f>
        <v>285</v>
      </c>
      <c r="O46" s="1"/>
      <c r="P46" s="1">
        <f>'Enrollment &amp; Staffing'!AD78</f>
        <v>294</v>
      </c>
      <c r="Q46" s="1"/>
      <c r="R46" s="1">
        <f>'Enrollment &amp; Staffing'!AH78</f>
        <v>255</v>
      </c>
      <c r="S46" s="1"/>
      <c r="T46" s="1">
        <f>'Enrollment &amp; Staffing'!F78</f>
        <v>294</v>
      </c>
      <c r="V46" s="1">
        <f>'Enrollment &amp; Staffing'!J78</f>
        <v>314</v>
      </c>
    </row>
    <row r="47" spans="1:22" x14ac:dyDescent="0.3">
      <c r="A47" s="155" t="s">
        <v>512</v>
      </c>
      <c r="B47" s="1">
        <f>'Enrollment &amp; Staffing'!D79</f>
        <v>243.13666666666668</v>
      </c>
      <c r="C47" s="1"/>
      <c r="D47" s="1">
        <f>'Enrollment &amp; Staffing'!L79</f>
        <v>235</v>
      </c>
      <c r="E47" s="1"/>
      <c r="F47" s="1">
        <f>'Enrollment &amp; Staffing'!P79</f>
        <v>234</v>
      </c>
      <c r="G47" s="1"/>
      <c r="H47" s="1">
        <f>'Enrollment &amp; Staffing'!R79</f>
        <v>235</v>
      </c>
      <c r="I47" s="1"/>
      <c r="J47" s="1">
        <f>'Enrollment &amp; Staffing'!V79</f>
        <v>228</v>
      </c>
      <c r="K47" s="1"/>
      <c r="L47" s="1">
        <f>'Enrollment &amp; Staffing'!X79</f>
        <v>235</v>
      </c>
      <c r="M47" s="1"/>
      <c r="N47" s="1">
        <f>'Enrollment &amp; Staffing'!AB79</f>
        <v>215</v>
      </c>
      <c r="O47" s="1"/>
      <c r="P47" s="1">
        <f>'Enrollment &amp; Staffing'!AD79</f>
        <v>235</v>
      </c>
      <c r="Q47" s="1"/>
      <c r="R47" s="1">
        <f>'Enrollment &amp; Staffing'!AH79</f>
        <v>190</v>
      </c>
      <c r="S47" s="1"/>
      <c r="T47" s="1">
        <f>'Enrollment &amp; Staffing'!F79</f>
        <v>235</v>
      </c>
      <c r="V47" s="1">
        <f>'Enrollment &amp; Staffing'!J79</f>
        <v>240</v>
      </c>
    </row>
    <row r="48" spans="1:22" x14ac:dyDescent="0.3">
      <c r="A48" s="155" t="s">
        <v>513</v>
      </c>
      <c r="B48" s="1">
        <f>'Enrollment &amp; Staffing'!D80</f>
        <v>241.99166666666667</v>
      </c>
      <c r="C48" s="1"/>
      <c r="D48" s="1">
        <f>'Enrollment &amp; Staffing'!L80</f>
        <v>234</v>
      </c>
      <c r="E48" s="1"/>
      <c r="F48" s="1">
        <f>'Enrollment &amp; Staffing'!P80</f>
        <v>220</v>
      </c>
      <c r="G48" s="1"/>
      <c r="H48" s="1">
        <f>'Enrollment &amp; Staffing'!R80</f>
        <v>234</v>
      </c>
      <c r="I48" s="1"/>
      <c r="J48" s="1">
        <f>'Enrollment &amp; Staffing'!V80</f>
        <v>215</v>
      </c>
      <c r="K48" s="1"/>
      <c r="L48" s="1">
        <f>'Enrollment &amp; Staffing'!X80</f>
        <v>234</v>
      </c>
      <c r="M48" s="1"/>
      <c r="N48" s="1">
        <f>'Enrollment &amp; Staffing'!AB80</f>
        <v>204</v>
      </c>
      <c r="O48" s="1"/>
      <c r="P48" s="1">
        <f>'Enrollment &amp; Staffing'!AD80</f>
        <v>234</v>
      </c>
      <c r="Q48" s="1"/>
      <c r="R48" s="1">
        <f>'Enrollment &amp; Staffing'!AH80</f>
        <v>182</v>
      </c>
      <c r="S48" s="1"/>
      <c r="T48" s="1">
        <f>'Enrollment &amp; Staffing'!F80</f>
        <v>234</v>
      </c>
      <c r="V48" s="1">
        <f>'Enrollment &amp; Staffing'!J80</f>
        <v>226</v>
      </c>
    </row>
    <row r="49" spans="1:22" x14ac:dyDescent="0.3">
      <c r="A49" s="155" t="s">
        <v>327</v>
      </c>
      <c r="B49" s="1">
        <f>SUM(B44:B48)</f>
        <v>1275.8533333333335</v>
      </c>
      <c r="C49" s="1"/>
      <c r="D49" s="1">
        <f>SUM(D44:D48)</f>
        <v>1248</v>
      </c>
      <c r="E49" s="1"/>
      <c r="F49" s="1">
        <f>SUM(F44:F48)</f>
        <v>1224</v>
      </c>
      <c r="G49" s="1"/>
      <c r="H49" s="1">
        <f>SUM(H44:H48)</f>
        <v>1248</v>
      </c>
      <c r="I49" s="1"/>
      <c r="J49" s="1">
        <f>SUM(J44:J48)</f>
        <v>1198</v>
      </c>
      <c r="K49" s="1"/>
      <c r="L49" s="1">
        <f>SUM(L44:L48)</f>
        <v>1248</v>
      </c>
      <c r="M49" s="1"/>
      <c r="N49" s="1">
        <f>SUM(N44:N48)</f>
        <v>1146</v>
      </c>
      <c r="O49" s="1"/>
      <c r="P49" s="1">
        <f>SUM(P44:P48)</f>
        <v>1248</v>
      </c>
      <c r="Q49" s="1"/>
      <c r="R49" s="1">
        <f>SUM(R44:R48)</f>
        <v>1039</v>
      </c>
      <c r="S49" s="1"/>
      <c r="T49" s="1">
        <f>SUM(T44:T48)</f>
        <v>1248</v>
      </c>
      <c r="V49" s="1">
        <f>SUM(V44:V48)</f>
        <v>1250</v>
      </c>
    </row>
    <row r="50" spans="1:22" x14ac:dyDescent="0.3">
      <c r="A50" s="155" t="s">
        <v>328</v>
      </c>
      <c r="B50" s="1">
        <f>'Enrollment &amp; Staffing'!D81</f>
        <v>112.05833333333334</v>
      </c>
      <c r="C50" s="1"/>
      <c r="D50" s="1">
        <f>'Enrollment &amp; Staffing'!L81</f>
        <v>112</v>
      </c>
      <c r="E50" s="1"/>
      <c r="F50" s="1">
        <f>'Enrollment &amp; Staffing'!P81</f>
        <v>107</v>
      </c>
      <c r="G50" s="1"/>
      <c r="H50" s="1">
        <f>'Enrollment &amp; Staffing'!R81</f>
        <v>112</v>
      </c>
      <c r="I50" s="1"/>
      <c r="J50" s="1">
        <f>'Enrollment &amp; Staffing'!V81</f>
        <v>104</v>
      </c>
      <c r="K50" s="1"/>
      <c r="L50" s="1">
        <f>'Enrollment &amp; Staffing'!X81</f>
        <v>112</v>
      </c>
      <c r="M50" s="1"/>
      <c r="N50" s="1">
        <f>'Enrollment &amp; Staffing'!AB81</f>
        <v>99</v>
      </c>
      <c r="O50" s="1"/>
      <c r="P50" s="1">
        <f>'Enrollment &amp; Staffing'!AD81</f>
        <v>112</v>
      </c>
      <c r="Q50" s="1"/>
      <c r="R50" s="1">
        <f>'Enrollment &amp; Staffing'!AH81</f>
        <v>88</v>
      </c>
      <c r="S50" s="1"/>
      <c r="T50" s="1">
        <f>'Enrollment &amp; Staffing'!F81</f>
        <v>112</v>
      </c>
      <c r="V50" s="1">
        <f>'Enrollment &amp; Staffing'!J81</f>
        <v>110</v>
      </c>
    </row>
    <row r="51" spans="1:22" x14ac:dyDescent="0.3">
      <c r="A51" s="155" t="s">
        <v>329</v>
      </c>
      <c r="B51" s="1">
        <f>'Enrollment &amp; Staffing'!D82</f>
        <v>23.7</v>
      </c>
      <c r="C51" s="1"/>
      <c r="D51" s="1">
        <f>'Enrollment &amp; Staffing'!L82</f>
        <v>24</v>
      </c>
      <c r="E51" s="1"/>
      <c r="F51" s="1">
        <f>'Enrollment &amp; Staffing'!P82</f>
        <v>23</v>
      </c>
      <c r="G51" s="1"/>
      <c r="H51" s="1">
        <f>'Enrollment &amp; Staffing'!R82</f>
        <v>24</v>
      </c>
      <c r="I51" s="1"/>
      <c r="J51" s="1">
        <f>'Enrollment &amp; Staffing'!V82</f>
        <v>23</v>
      </c>
      <c r="K51" s="1"/>
      <c r="L51" s="1">
        <f>'Enrollment &amp; Staffing'!X82</f>
        <v>24</v>
      </c>
      <c r="M51" s="1"/>
      <c r="N51" s="1">
        <f>'Enrollment &amp; Staffing'!AB82</f>
        <v>22</v>
      </c>
      <c r="O51" s="1"/>
      <c r="P51" s="1">
        <f>'Enrollment &amp; Staffing'!AD82</f>
        <v>24</v>
      </c>
      <c r="Q51" s="1"/>
      <c r="R51" s="1">
        <f>'Enrollment &amp; Staffing'!AH82</f>
        <v>22</v>
      </c>
      <c r="S51" s="1"/>
      <c r="T51" s="1">
        <f>'Enrollment &amp; Staffing'!F82</f>
        <v>24</v>
      </c>
      <c r="V51" s="1">
        <f>'Enrollment &amp; Staffing'!J82</f>
        <v>23</v>
      </c>
    </row>
    <row r="52" spans="1:22" x14ac:dyDescent="0.3">
      <c r="A52" s="155" t="s">
        <v>514</v>
      </c>
      <c r="B52" s="1">
        <f>'Enrollment &amp; Staffing'!D83</f>
        <v>21.891666666666666</v>
      </c>
      <c r="C52" s="1"/>
      <c r="D52" s="1">
        <f>'Enrollment &amp; Staffing'!L83</f>
        <v>21</v>
      </c>
      <c r="E52" s="1"/>
      <c r="F52" s="1">
        <f>'Enrollment &amp; Staffing'!P83</f>
        <v>21</v>
      </c>
      <c r="G52" s="1"/>
      <c r="H52" s="1">
        <f>'Enrollment &amp; Staffing'!R83</f>
        <v>21</v>
      </c>
      <c r="I52" s="1"/>
      <c r="J52" s="1">
        <f>'Enrollment &amp; Staffing'!V83</f>
        <v>21</v>
      </c>
      <c r="K52" s="1"/>
      <c r="L52" s="1">
        <f>'Enrollment &amp; Staffing'!X83</f>
        <v>21</v>
      </c>
      <c r="M52" s="1"/>
      <c r="N52" s="1">
        <f>'Enrollment &amp; Staffing'!AB83</f>
        <v>20</v>
      </c>
      <c r="O52" s="1"/>
      <c r="P52" s="1">
        <f>'Enrollment &amp; Staffing'!AD83</f>
        <v>21</v>
      </c>
      <c r="Q52" s="1"/>
      <c r="R52" s="1">
        <f>'Enrollment &amp; Staffing'!AH83</f>
        <v>18</v>
      </c>
      <c r="S52" s="1"/>
      <c r="T52" s="1">
        <f>'Enrollment &amp; Staffing'!F83</f>
        <v>21</v>
      </c>
      <c r="V52" s="1">
        <f>'Enrollment &amp; Staffing'!J83</f>
        <v>21</v>
      </c>
    </row>
    <row r="53" spans="1:22" x14ac:dyDescent="0.3">
      <c r="A53" s="155" t="s">
        <v>515</v>
      </c>
      <c r="B53" s="1">
        <f>'Enrollment &amp; Staffing'!D84</f>
        <v>11.608333333333334</v>
      </c>
      <c r="C53" s="1"/>
      <c r="D53" s="1">
        <f>'Enrollment &amp; Staffing'!L84</f>
        <v>11</v>
      </c>
      <c r="E53" s="1"/>
      <c r="F53" s="1">
        <f>'Enrollment &amp; Staffing'!P84</f>
        <v>11</v>
      </c>
      <c r="G53" s="1"/>
      <c r="H53" s="1">
        <f>'Enrollment &amp; Staffing'!R84</f>
        <v>11</v>
      </c>
      <c r="I53" s="1"/>
      <c r="J53" s="1">
        <f>'Enrollment &amp; Staffing'!V84</f>
        <v>11</v>
      </c>
      <c r="K53" s="1"/>
      <c r="L53" s="1">
        <f>'Enrollment &amp; Staffing'!X84</f>
        <v>11</v>
      </c>
      <c r="M53" s="1"/>
      <c r="N53" s="1">
        <f>'Enrollment &amp; Staffing'!AB84</f>
        <v>10</v>
      </c>
      <c r="O53" s="1"/>
      <c r="P53" s="1">
        <f>'Enrollment &amp; Staffing'!AD84</f>
        <v>11</v>
      </c>
      <c r="Q53" s="1"/>
      <c r="R53" s="1">
        <f>'Enrollment &amp; Staffing'!AH84</f>
        <v>9</v>
      </c>
      <c r="S53" s="1"/>
      <c r="T53" s="1">
        <f>'Enrollment &amp; Staffing'!F84</f>
        <v>11</v>
      </c>
      <c r="V53" s="1">
        <f>'Enrollment &amp; Staffing'!J84</f>
        <v>11</v>
      </c>
    </row>
    <row r="54" spans="1:22" x14ac:dyDescent="0.3">
      <c r="A54" s="155" t="s">
        <v>516</v>
      </c>
      <c r="B54" s="1">
        <f>'Enrollment &amp; Staffing'!D85</f>
        <v>29.416666666666668</v>
      </c>
      <c r="C54" s="1"/>
      <c r="D54" s="1">
        <f>'Enrollment &amp; Staffing'!L85</f>
        <v>29</v>
      </c>
      <c r="E54" s="1"/>
      <c r="F54" s="1">
        <f>'Enrollment &amp; Staffing'!P85</f>
        <v>28</v>
      </c>
      <c r="G54" s="1"/>
      <c r="H54" s="1">
        <f>'Enrollment &amp; Staffing'!R85</f>
        <v>29</v>
      </c>
      <c r="I54" s="1"/>
      <c r="J54" s="1">
        <f>'Enrollment &amp; Staffing'!V85</f>
        <v>28</v>
      </c>
      <c r="K54" s="1"/>
      <c r="L54" s="1">
        <f>'Enrollment &amp; Staffing'!X85</f>
        <v>29</v>
      </c>
      <c r="M54" s="1"/>
      <c r="N54" s="1">
        <f>'Enrollment &amp; Staffing'!AB85</f>
        <v>26</v>
      </c>
      <c r="O54" s="1"/>
      <c r="P54" s="1">
        <f>'Enrollment &amp; Staffing'!AD85</f>
        <v>29</v>
      </c>
      <c r="Q54" s="1"/>
      <c r="R54" s="1">
        <f>'Enrollment &amp; Staffing'!AH85</f>
        <v>24</v>
      </c>
      <c r="S54" s="1"/>
      <c r="T54" s="1">
        <f>'Enrollment &amp; Staffing'!F85</f>
        <v>29</v>
      </c>
      <c r="V54" s="1">
        <f>'Enrollment &amp; Staffing'!J85</f>
        <v>29</v>
      </c>
    </row>
    <row r="55" spans="1:22" x14ac:dyDescent="0.3">
      <c r="A55" s="118" t="s">
        <v>517</v>
      </c>
      <c r="B55" s="1">
        <f>'Enrollment &amp; Staffing'!D88</f>
        <v>1389.2633333333333</v>
      </c>
      <c r="C55" s="1"/>
      <c r="D55" s="1">
        <f>'Enrollment &amp; Staffing'!L88</f>
        <v>1384.0929662008248</v>
      </c>
      <c r="E55" s="1"/>
      <c r="F55" s="1">
        <f>'Enrollment &amp; Staffing'!P88</f>
        <v>1338.9731896358048</v>
      </c>
      <c r="G55" s="1"/>
      <c r="H55" s="1">
        <f>'Enrollment &amp; Staffing'!R88</f>
        <v>1368.3631271667505</v>
      </c>
      <c r="I55" s="1"/>
      <c r="J55" s="1">
        <f>'Enrollment &amp; Staffing'!V88</f>
        <v>1287.6403949872993</v>
      </c>
      <c r="K55" s="1"/>
      <c r="L55" s="1">
        <f>'Enrollment &amp; Staffing'!X88</f>
        <v>1347.4202700491899</v>
      </c>
      <c r="M55" s="1"/>
      <c r="N55" s="1">
        <f>'Enrollment &amp; Staffing'!AB88</f>
        <v>1188.9748056902874</v>
      </c>
      <c r="O55" s="1"/>
      <c r="P55" s="1">
        <f>'Enrollment &amp; Staffing'!AD88</f>
        <v>1307.5832521048596</v>
      </c>
      <c r="Q55" s="1"/>
      <c r="R55" s="1">
        <f>'Enrollment &amp; Staffing'!AH88</f>
        <v>989.64362709626403</v>
      </c>
      <c r="S55" s="1"/>
      <c r="T55" s="1">
        <f>'Enrollment &amp; Staffing'!F88</f>
        <v>1389.2633333333333</v>
      </c>
      <c r="V55" s="1">
        <f>'Enrollment &amp; Staffing'!J88</f>
        <v>1389.2633333333333</v>
      </c>
    </row>
    <row r="56" spans="1:22" x14ac:dyDescent="0.3">
      <c r="A56" s="288" t="s">
        <v>518</v>
      </c>
      <c r="B56" s="4">
        <f>'Enrollment &amp; Staffing'!D89</f>
        <v>63.93</v>
      </c>
      <c r="D56" s="4">
        <f>'Enrollment &amp; Staffing'!L89</f>
        <v>64</v>
      </c>
      <c r="F56" s="4">
        <f>'Enrollment &amp; Staffing'!P89</f>
        <v>60</v>
      </c>
      <c r="H56" s="4">
        <f>'Enrollment &amp; Staffing'!R89</f>
        <v>62</v>
      </c>
      <c r="J56" s="4">
        <f>'Enrollment &amp; Staffing'!V89</f>
        <v>58</v>
      </c>
      <c r="L56" s="4">
        <f>'Enrollment &amp; Staffing'!X89</f>
        <v>60</v>
      </c>
      <c r="N56" s="4">
        <f>'Enrollment &amp; Staffing'!AB89</f>
        <v>54</v>
      </c>
      <c r="P56" s="4">
        <f>'Enrollment &amp; Staffing'!AD89</f>
        <v>58</v>
      </c>
      <c r="R56" s="4">
        <f>'Enrollment &amp; Staffing'!AH89</f>
        <v>45</v>
      </c>
      <c r="T56" s="4">
        <f>'Enrollment &amp; Staffing'!F89</f>
        <v>63.93</v>
      </c>
      <c r="V56" s="4">
        <f>'Enrollment &amp; Staffing'!J89</f>
        <v>63.93</v>
      </c>
    </row>
    <row r="57" spans="1:22" x14ac:dyDescent="0.3">
      <c r="A57" s="288" t="s">
        <v>521</v>
      </c>
      <c r="B57" s="4">
        <f>'Enrollment &amp; Staffing'!D90</f>
        <v>373.5</v>
      </c>
      <c r="D57" s="4">
        <f>'Enrollment &amp; Staffing'!L90</f>
        <v>374</v>
      </c>
      <c r="F57" s="4">
        <f>'Enrollment &amp; Staffing'!P90</f>
        <v>360</v>
      </c>
      <c r="H57" s="4">
        <f>'Enrollment &amp; Staffing'!R90</f>
        <v>368.04137931034484</v>
      </c>
      <c r="J57" s="4">
        <f>'Enrollment &amp; Staffing'!V90</f>
        <v>346.59310344827588</v>
      </c>
      <c r="L57" s="4">
        <f>'Enrollment &amp; Staffing'!X90</f>
        <v>362.6758620689655</v>
      </c>
      <c r="N57" s="4">
        <f>'Enrollment &amp; Staffing'!AB90</f>
        <v>319.77931034482759</v>
      </c>
      <c r="P57" s="4">
        <f>'Enrollment &amp; Staffing'!AD90</f>
        <v>351.95862068965516</v>
      </c>
      <c r="R57" s="4">
        <f>'Enrollment &amp; Staffing'!AH90</f>
        <v>266.15172413793101</v>
      </c>
      <c r="T57" s="4">
        <f>'Enrollment &amp; Staffing'!F90</f>
        <v>373.5</v>
      </c>
      <c r="V57" s="4">
        <f>'Enrollment &amp; Staffing'!J90</f>
        <v>373.5</v>
      </c>
    </row>
    <row r="58" spans="1:22" x14ac:dyDescent="0.3">
      <c r="A58" s="288" t="s">
        <v>522</v>
      </c>
      <c r="B58" s="4">
        <f>'Enrollment &amp; Staffing'!D91</f>
        <v>64.916666666666671</v>
      </c>
      <c r="D58" s="4">
        <f>'Enrollment &amp; Staffing'!L91</f>
        <v>65</v>
      </c>
      <c r="F58" s="4">
        <f>'Enrollment &amp; Staffing'!P91</f>
        <v>63.120884027235185</v>
      </c>
      <c r="H58" s="4">
        <f>'Enrollment &amp; Staffing'!R91</f>
        <v>64.530825612977637</v>
      </c>
      <c r="J58" s="4">
        <f>'Enrollment &amp; Staffing'!V91</f>
        <v>60.77017524277263</v>
      </c>
      <c r="L58" s="4">
        <f>'Enrollment &amp; Staffing'!X91</f>
        <v>63.590058414257541</v>
      </c>
      <c r="N58" s="4">
        <f>'Enrollment &amp; Staffing'!AB91</f>
        <v>56.068757673847529</v>
      </c>
      <c r="P58" s="4">
        <f>'Enrollment &amp; Staffing'!AD91</f>
        <v>61.710942441492726</v>
      </c>
      <c r="R58" s="4">
        <f>'Enrollment &amp; Staffing'!AH91</f>
        <v>46.665922535997325</v>
      </c>
      <c r="T58" s="4">
        <f>'Enrollment &amp; Staffing'!F91</f>
        <v>64.916666666666671</v>
      </c>
      <c r="V58" s="4">
        <f>'Enrollment &amp; Staffing'!J91</f>
        <v>64.916666666666671</v>
      </c>
    </row>
    <row r="59" spans="1:22" x14ac:dyDescent="0.3">
      <c r="A59" s="288" t="s">
        <v>523</v>
      </c>
      <c r="B59" s="4">
        <f>'Enrollment &amp; Staffing'!D92</f>
        <v>7.5</v>
      </c>
      <c r="D59" s="4">
        <f>'Enrollment &amp; Staffing'!L92</f>
        <v>8</v>
      </c>
      <c r="F59" s="4">
        <f>'Enrollment &amp; Staffing'!P92</f>
        <v>8</v>
      </c>
      <c r="H59" s="4">
        <f>'Enrollment &amp; Staffing'!R92</f>
        <v>7</v>
      </c>
      <c r="J59" s="4">
        <f>'Enrollment &amp; Staffing'!V92</f>
        <v>6</v>
      </c>
      <c r="L59" s="4">
        <f>'Enrollment &amp; Staffing'!X92</f>
        <v>7</v>
      </c>
      <c r="N59" s="4">
        <f>'Enrollment &amp; Staffing'!AB92</f>
        <v>6</v>
      </c>
      <c r="P59" s="4">
        <f>'Enrollment &amp; Staffing'!AD92</f>
        <v>7</v>
      </c>
      <c r="R59" s="4">
        <f>'Enrollment &amp; Staffing'!AH92</f>
        <v>5</v>
      </c>
      <c r="T59" s="4">
        <f>'Enrollment &amp; Staffing'!F92</f>
        <v>7.5</v>
      </c>
      <c r="V59" s="4">
        <f>'Enrollment &amp; Staffing'!J92</f>
        <v>7.5</v>
      </c>
    </row>
    <row r="60" spans="1:22" x14ac:dyDescent="0.3">
      <c r="A60" s="288" t="s">
        <v>524</v>
      </c>
      <c r="B60" s="4">
        <f>'Enrollment &amp; Staffing'!D93</f>
        <v>57.083333333333336</v>
      </c>
      <c r="D60" s="4">
        <f>'Enrollment &amp; Staffing'!L93</f>
        <v>56.672859077756563</v>
      </c>
      <c r="F60" s="4">
        <f>'Enrollment &amp; Staffing'!P93</f>
        <v>55.034476389829457</v>
      </c>
      <c r="H60" s="4">
        <f>'Enrollment &amp; Staffing'!R93</f>
        <v>56.263790555931777</v>
      </c>
      <c r="J60" s="4">
        <f>'Enrollment &amp; Staffing'!V93</f>
        <v>52.984916579449603</v>
      </c>
      <c r="L60" s="4">
        <f>'Enrollment &amp; Staffing'!X93</f>
        <v>55.443544911654243</v>
      </c>
      <c r="N60" s="4">
        <f>'Enrollment &amp; Staffing'!AB93</f>
        <v>48.885796958689888</v>
      </c>
      <c r="P60" s="4">
        <f>'Enrollment &amp; Staffing'!AD93</f>
        <v>53.80516222372713</v>
      </c>
      <c r="R60" s="4">
        <f>'Enrollment &amp; Staffing'!AH93</f>
        <v>40.687557717170463</v>
      </c>
      <c r="T60" s="4">
        <f>'Enrollment &amp; Staffing'!F93</f>
        <v>57.083333333333336</v>
      </c>
      <c r="V60" s="4">
        <f>'Enrollment &amp; Staffing'!J93</f>
        <v>57.083333333333336</v>
      </c>
    </row>
    <row r="61" spans="1:22" x14ac:dyDescent="0.3">
      <c r="A61" s="288" t="s">
        <v>520</v>
      </c>
      <c r="B61" s="4">
        <f>'Enrollment &amp; Staffing'!D94</f>
        <v>822.33333333333337</v>
      </c>
      <c r="D61" s="4">
        <f>'Enrollment &amp; Staffing'!L94</f>
        <v>816.42010712306831</v>
      </c>
      <c r="F61" s="4">
        <f>'Enrollment &amp; Staffing'!P94</f>
        <v>792.81782921874026</v>
      </c>
      <c r="H61" s="4">
        <f>'Enrollment &amp; Staffing'!R94</f>
        <v>810.52713168749608</v>
      </c>
      <c r="J61" s="4">
        <f>'Enrollment &amp; Staffing'!V94</f>
        <v>763.29219971680106</v>
      </c>
      <c r="L61" s="4">
        <f>'Enrollment &amp; Staffing'!X94</f>
        <v>798.7108046543126</v>
      </c>
      <c r="N61" s="4">
        <f>'Enrollment &amp; Staffing'!AB94</f>
        <v>704.24094071292245</v>
      </c>
      <c r="P61" s="4">
        <f>'Enrollment &amp; Staffing'!AD94</f>
        <v>775.10852674998455</v>
      </c>
      <c r="R61" s="4">
        <f>'Enrollment &amp; Staffing'!AH94</f>
        <v>586.13842270516523</v>
      </c>
      <c r="T61" s="4">
        <f>'Enrollment &amp; Staffing'!F94</f>
        <v>822.33333333333337</v>
      </c>
      <c r="V61" s="4">
        <f>'Enrollment &amp; Staffing'!J94</f>
        <v>822.33333333333337</v>
      </c>
    </row>
    <row r="62" spans="1:22" x14ac:dyDescent="0.3">
      <c r="A62" s="25" t="s">
        <v>93</v>
      </c>
      <c r="B62" s="4">
        <v>1</v>
      </c>
      <c r="D62" s="4">
        <v>1</v>
      </c>
      <c r="F62" s="4">
        <v>1</v>
      </c>
      <c r="H62" s="4">
        <v>1</v>
      </c>
      <c r="J62" s="4">
        <v>1</v>
      </c>
      <c r="L62" s="4">
        <v>1</v>
      </c>
      <c r="N62" s="4">
        <v>1</v>
      </c>
      <c r="P62" s="4">
        <v>1</v>
      </c>
      <c r="R62" s="4">
        <v>1</v>
      </c>
      <c r="T62" s="4">
        <v>1</v>
      </c>
      <c r="V62" s="4">
        <v>1</v>
      </c>
    </row>
    <row r="63" spans="1:22" x14ac:dyDescent="0.3">
      <c r="A63" s="25" t="s">
        <v>270</v>
      </c>
      <c r="B63" s="4">
        <f>B$4</f>
        <v>27071.666666666668</v>
      </c>
      <c r="D63" s="4">
        <f t="shared" ref="D63:P63" si="20">D$4</f>
        <v>26877</v>
      </c>
      <c r="F63" s="4">
        <f t="shared" si="20"/>
        <v>26100</v>
      </c>
      <c r="H63" s="4">
        <f t="shared" si="20"/>
        <v>26683</v>
      </c>
      <c r="J63" s="4">
        <f t="shared" si="20"/>
        <v>25128</v>
      </c>
      <c r="L63" s="4">
        <f t="shared" si="20"/>
        <v>26294</v>
      </c>
      <c r="N63" s="4">
        <f t="shared" si="20"/>
        <v>23184</v>
      </c>
      <c r="P63" s="4">
        <f t="shared" si="20"/>
        <v>25517</v>
      </c>
      <c r="R63" s="4">
        <f>R$4</f>
        <v>19296</v>
      </c>
      <c r="T63" s="4">
        <f>T$4</f>
        <v>27072</v>
      </c>
      <c r="V63" s="4">
        <f>V$4</f>
        <v>27072</v>
      </c>
    </row>
    <row r="64" spans="1:22" x14ac:dyDescent="0.3">
      <c r="A64" s="25" t="s">
        <v>424</v>
      </c>
      <c r="B64" s="4">
        <f>B$13</f>
        <v>11804.500000000002</v>
      </c>
      <c r="D64" s="4">
        <f t="shared" ref="D64:V64" si="21">D$13</f>
        <v>11999</v>
      </c>
      <c r="F64" s="4">
        <f t="shared" si="21"/>
        <v>12776</v>
      </c>
      <c r="H64" s="4">
        <f t="shared" si="21"/>
        <v>12193</v>
      </c>
      <c r="J64" s="4">
        <f t="shared" si="21"/>
        <v>13748</v>
      </c>
      <c r="L64" s="4">
        <f t="shared" si="21"/>
        <v>12582</v>
      </c>
      <c r="N64" s="4">
        <f t="shared" si="21"/>
        <v>15692</v>
      </c>
      <c r="P64" s="4">
        <f t="shared" si="21"/>
        <v>13359</v>
      </c>
      <c r="R64" s="4">
        <f t="shared" si="21"/>
        <v>19580</v>
      </c>
      <c r="T64" s="4">
        <f t="shared" si="21"/>
        <v>11804</v>
      </c>
      <c r="V64" s="4">
        <f t="shared" si="21"/>
        <v>11804</v>
      </c>
    </row>
  </sheetData>
  <customSheetViews>
    <customSheetView guid="{B4B2789E-A92B-47A1-806A-E79E8613D3F5}">
      <selection activeCell="A15" sqref="A15"/>
      <pageMargins left="0.7" right="0.7" top="0.75" bottom="0.75" header="0.3" footer="0.3"/>
    </customSheetView>
    <customSheetView guid="{243EEA98-E2F9-4DAE-A7D1-6A008E515787}">
      <selection activeCell="A15" sqref="A15"/>
      <pageMargins left="0.7" right="0.7" top="0.75" bottom="0.75" header="0.3" footer="0.3"/>
    </customSheetView>
  </customSheetView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L27"/>
  <sheetViews>
    <sheetView zoomScale="90" zoomScaleNormal="90" workbookViewId="0">
      <selection activeCell="H13" sqref="H13"/>
    </sheetView>
  </sheetViews>
  <sheetFormatPr defaultColWidth="8.7109375" defaultRowHeight="15" x14ac:dyDescent="0.25"/>
  <cols>
    <col min="2" max="2" width="24.42578125" customWidth="1"/>
    <col min="3" max="3" width="11" customWidth="1"/>
    <col min="4" max="4" width="23.7109375" customWidth="1"/>
    <col min="5" max="5" width="23" customWidth="1"/>
    <col min="6" max="6" width="27.7109375" bestFit="1" customWidth="1"/>
    <col min="7" max="7" width="25.28515625" bestFit="1" customWidth="1"/>
    <col min="8" max="8" width="14.42578125" style="542" bestFit="1" customWidth="1"/>
    <col min="9" max="9" width="25.28515625" customWidth="1"/>
    <col min="10" max="10" width="32" bestFit="1" customWidth="1"/>
    <col min="11" max="11" width="32.7109375" style="165" customWidth="1"/>
  </cols>
  <sheetData>
    <row r="2" spans="1:12" ht="16.5" x14ac:dyDescent="0.25">
      <c r="A2" s="136"/>
      <c r="B2" s="584" t="s">
        <v>380</v>
      </c>
      <c r="C2" s="584"/>
      <c r="D2" s="584"/>
      <c r="E2" s="584"/>
      <c r="F2" s="584"/>
      <c r="G2" s="584"/>
      <c r="H2" s="584"/>
      <c r="I2" s="584"/>
      <c r="J2" s="584"/>
      <c r="K2" s="584"/>
    </row>
    <row r="3" spans="1:12" ht="20.25" thickBot="1" x14ac:dyDescent="0.3">
      <c r="B3" s="202" t="s">
        <v>82</v>
      </c>
      <c r="C3" s="203" t="str">
        <f>Instructions!$E$3</f>
        <v>Average of 6 Districts</v>
      </c>
      <c r="F3" s="163" t="s">
        <v>283</v>
      </c>
      <c r="G3" s="148"/>
      <c r="I3" s="148"/>
      <c r="J3" s="164" t="s">
        <v>283</v>
      </c>
      <c r="K3" s="164" t="s">
        <v>283</v>
      </c>
    </row>
    <row r="4" spans="1:12" ht="26.25" thickBot="1" x14ac:dyDescent="0.3">
      <c r="B4" s="149"/>
      <c r="C4" s="149"/>
      <c r="D4" s="273" t="s">
        <v>566</v>
      </c>
      <c r="E4" s="498" t="s">
        <v>561</v>
      </c>
      <c r="F4" s="498" t="s">
        <v>562</v>
      </c>
      <c r="G4" s="274" t="s">
        <v>422</v>
      </c>
      <c r="H4" s="504" t="s">
        <v>565</v>
      </c>
      <c r="I4" s="274" t="s">
        <v>558</v>
      </c>
      <c r="J4" s="274" t="s">
        <v>425</v>
      </c>
      <c r="K4" s="275" t="s">
        <v>426</v>
      </c>
    </row>
    <row r="5" spans="1:12" ht="27" customHeight="1" thickBot="1" x14ac:dyDescent="0.3">
      <c r="B5" s="174" t="s">
        <v>177</v>
      </c>
      <c r="C5" s="284" t="s">
        <v>409</v>
      </c>
      <c r="D5" s="175">
        <f>Expenditure!G19</f>
        <v>544307821.15666664</v>
      </c>
      <c r="E5" s="175"/>
      <c r="F5" s="175"/>
      <c r="G5" s="325"/>
      <c r="H5" s="505"/>
      <c r="I5" s="325">
        <f>Expenditure!$N12</f>
        <v>14001.067178862797</v>
      </c>
      <c r="J5" s="175">
        <f>Expenditure!$N13</f>
        <v>15673.518100535613</v>
      </c>
      <c r="K5" s="177">
        <f>Expenditure!$N14</f>
        <v>10165.577842771823</v>
      </c>
    </row>
    <row r="6" spans="1:12" ht="16.5" x14ac:dyDescent="0.25">
      <c r="B6" s="598" t="s">
        <v>86</v>
      </c>
      <c r="C6" s="281" t="s">
        <v>396</v>
      </c>
      <c r="D6" s="176">
        <f>Expenditure!$K$19+Expenditure!O$19</f>
        <v>542140784.12672257</v>
      </c>
      <c r="E6" s="176">
        <f>Expenditure!$Q$8</f>
        <v>293984.81873345375</v>
      </c>
      <c r="F6" s="176">
        <f>(-1*Expenditure!Q$10*Expenditure!$Q$4)+E6</f>
        <v>-1692495.3920406252</v>
      </c>
      <c r="G6" s="326">
        <f>Expenditure!$Q$11</f>
        <v>-8701.7757945534249</v>
      </c>
      <c r="H6" s="506">
        <f t="shared" ref="H6:H13" si="0">G6/-K6</f>
        <v>0.85593896202007436</v>
      </c>
      <c r="I6" s="326">
        <f>Expenditure!$Q$12</f>
        <v>13945.384919403297</v>
      </c>
      <c r="J6" s="176">
        <f>Expenditure!$Q$13</f>
        <v>15632.50140532606</v>
      </c>
      <c r="K6" s="177">
        <f>Expenditure!$Q$14</f>
        <v>10166.350850552053</v>
      </c>
    </row>
    <row r="7" spans="1:12" ht="17.25" thickBot="1" x14ac:dyDescent="0.3">
      <c r="B7" s="599"/>
      <c r="C7" s="283" t="s">
        <v>397</v>
      </c>
      <c r="D7" s="178">
        <f>Expenditure!$K$19+Expenditure!R$19</f>
        <v>543950692.69727433</v>
      </c>
      <c r="E7" s="178">
        <f>Expenditure!$T$8</f>
        <v>6460339.8256799579</v>
      </c>
      <c r="F7" s="178">
        <f>(-1*Expenditure!T$10*Expenditure!$T$4)+E7</f>
        <v>-3405934.1587513983</v>
      </c>
      <c r="G7" s="327">
        <f>Expenditure!$T$11</f>
        <v>-3505.8509096772059</v>
      </c>
      <c r="H7" s="507">
        <f t="shared" si="0"/>
        <v>0.34490018344813034</v>
      </c>
      <c r="I7" s="327">
        <f>Expenditure!$T$12</f>
        <v>13991.940855470582</v>
      </c>
      <c r="J7" s="178">
        <f>Expenditure!$T$13</f>
        <v>15865.320117541876</v>
      </c>
      <c r="K7" s="179">
        <f>Expenditure!$T$14</f>
        <v>10164.827616580413</v>
      </c>
    </row>
    <row r="8" spans="1:12" ht="16.5" x14ac:dyDescent="0.25">
      <c r="B8" s="598" t="s">
        <v>87</v>
      </c>
      <c r="C8" s="281" t="s">
        <v>396</v>
      </c>
      <c r="D8" s="176">
        <f>Expenditure!$K$19+Expenditure!U$19</f>
        <v>543491879.60526145</v>
      </c>
      <c r="E8" s="176">
        <f>Expenditure!$W$8</f>
        <v>896306.01624906063</v>
      </c>
      <c r="F8" s="176">
        <f>(-1*Expenditure!W$10*Expenditure!$W$4)+E8</f>
        <v>-3043590.8705795561</v>
      </c>
      <c r="G8" s="326">
        <f>Expenditure!$W$11</f>
        <v>-7834.2107350825481</v>
      </c>
      <c r="H8" s="506">
        <f t="shared" si="0"/>
        <v>0.77071927764548076</v>
      </c>
      <c r="I8" s="326">
        <f>Expenditure!$W$12</f>
        <v>13980.138893025554</v>
      </c>
      <c r="J8" s="176">
        <f>Expenditure!$W$13</f>
        <v>15723.585019429329</v>
      </c>
      <c r="K8" s="177">
        <f>Expenditure!$W$14</f>
        <v>10164.804439582433</v>
      </c>
    </row>
    <row r="9" spans="1:12" ht="17.25" thickBot="1" x14ac:dyDescent="0.3">
      <c r="B9" s="599"/>
      <c r="C9" s="283" t="s">
        <v>397</v>
      </c>
      <c r="D9" s="178">
        <f>Expenditure!$K$19+Expenditure!X$19</f>
        <v>547611325.13928878</v>
      </c>
      <c r="E9" s="178">
        <f>Expenditure!$Z$8</f>
        <v>12699044.902816415</v>
      </c>
      <c r="F9" s="178">
        <f>(-1*Expenditure!Z$10*Expenditure!$Z$4)+E9</f>
        <v>-7066566.600765869</v>
      </c>
      <c r="G9" s="327">
        <f>Expenditure!$Z$11</f>
        <v>-3636.0003091154485</v>
      </c>
      <c r="H9" s="507">
        <f t="shared" si="0"/>
        <v>0.35765513259349457</v>
      </c>
      <c r="I9" s="327">
        <f>Expenditure!$Z$12</f>
        <v>14086.102611875933</v>
      </c>
      <c r="J9" s="178">
        <f>Expenditure!$Z$13</f>
        <v>16230.744587341074</v>
      </c>
      <c r="K9" s="179">
        <f>Expenditure!$Z$14</f>
        <v>10166.218733530861</v>
      </c>
    </row>
    <row r="10" spans="1:12" ht="16.5" x14ac:dyDescent="0.25">
      <c r="B10" s="598" t="s">
        <v>88</v>
      </c>
      <c r="C10" s="281" t="s">
        <v>396</v>
      </c>
      <c r="D10" s="176">
        <f>Expenditure!$K$19+Expenditure!AA$19</f>
        <v>546522581.30531657</v>
      </c>
      <c r="E10" s="176">
        <f>Expenditure!$AC$8</f>
        <v>1838564.7377420664</v>
      </c>
      <c r="F10" s="176">
        <f>(-1*Expenditure!AC$10*Expenditure!$AC$4)+E10</f>
        <v>-6074292.5706347376</v>
      </c>
      <c r="G10" s="326">
        <f>Expenditure!$AC$11</f>
        <v>-7812.5949461540222</v>
      </c>
      <c r="H10" s="506">
        <f t="shared" si="0"/>
        <v>0.76847947118707782</v>
      </c>
      <c r="I10" s="326">
        <f>Expenditure!$AC$12</f>
        <v>14058.097060019461</v>
      </c>
      <c r="J10" s="176">
        <f>Expenditure!$AC$13</f>
        <v>15920.368158208708</v>
      </c>
      <c r="K10" s="177">
        <f>Expenditure!$AC$14</f>
        <v>10166.30273035899</v>
      </c>
    </row>
    <row r="11" spans="1:12" ht="17.25" thickBot="1" x14ac:dyDescent="0.3">
      <c r="B11" s="599"/>
      <c r="C11" s="283" t="s">
        <v>397</v>
      </c>
      <c r="D11" s="178">
        <f>Expenditure!$K$19+Expenditure!AD$19</f>
        <v>554618238.2126379</v>
      </c>
      <c r="E11" s="178">
        <f>Expenditure!$AF$8</f>
        <v>25446955.114562869</v>
      </c>
      <c r="F11" s="178">
        <f>(-1*Expenditure!AF$10*Expenditure!$AF$4)+E11</f>
        <v>-14073479.674115047</v>
      </c>
      <c r="G11" s="327">
        <f>Expenditure!$AF$11</f>
        <v>-3620.1876975215582</v>
      </c>
      <c r="H11" s="507">
        <f t="shared" si="0"/>
        <v>0.3561182667208137</v>
      </c>
      <c r="I11" s="327">
        <f>Expenditure!$AF$12</f>
        <v>14266.340112476539</v>
      </c>
      <c r="J11" s="178">
        <f>Expenditure!$AF$13</f>
        <v>17041.849541880605</v>
      </c>
      <c r="K11" s="179">
        <f>Expenditure!$AF$14</f>
        <v>10165.689423507387</v>
      </c>
    </row>
    <row r="12" spans="1:12" ht="16.5" x14ac:dyDescent="0.25">
      <c r="B12" s="598" t="s">
        <v>178</v>
      </c>
      <c r="C12" s="281" t="s">
        <v>396</v>
      </c>
      <c r="D12" s="176">
        <f>Expenditure!$K$19+Expenditure!AG$19</f>
        <v>552677009.61911833</v>
      </c>
      <c r="E12" s="176">
        <f>Expenditure!$AI$8</f>
        <v>3563930.1975976229</v>
      </c>
      <c r="F12" s="176">
        <f>(-1*Expenditure!AI$10*Expenditure!$AI$4)+E12</f>
        <v>-12228720.884436473</v>
      </c>
      <c r="G12" s="326">
        <f>Expenditure!$AI$11</f>
        <v>-7866.6586583702065</v>
      </c>
      <c r="H12" s="506">
        <f t="shared" si="0"/>
        <v>0.77390808617723861</v>
      </c>
      <c r="I12" s="326">
        <f>Expenditure!$AI$12</f>
        <v>14216.40625627941</v>
      </c>
      <c r="J12" s="176">
        <f>Expenditure!$AI$13</f>
        <v>16337.531641340449</v>
      </c>
      <c r="K12" s="177">
        <f>Expenditure!$AI$14</f>
        <v>10164.848770644066</v>
      </c>
    </row>
    <row r="13" spans="1:12" ht="17.25" thickBot="1" x14ac:dyDescent="0.3">
      <c r="B13" s="599"/>
      <c r="C13" s="283" t="s">
        <v>397</v>
      </c>
      <c r="D13" s="178">
        <f>Expenditure!$K$19+Expenditure!AJ$19</f>
        <v>568053849.21024644</v>
      </c>
      <c r="E13" s="178">
        <f>Expenditure!$AL$8</f>
        <v>51535607.938214421</v>
      </c>
      <c r="F13" s="178">
        <f>(-1*Expenditure!AL$10*Expenditure!$AL$4)+E13</f>
        <v>-27509090.67172353</v>
      </c>
      <c r="G13" s="327">
        <f>Expenditure!$AL$11</f>
        <v>-3537.9191912704691</v>
      </c>
      <c r="H13" s="507">
        <f t="shared" si="0"/>
        <v>0.34802539385109682</v>
      </c>
      <c r="I13" s="327">
        <f>Expenditure!$AL$12</f>
        <v>14611.941794686862</v>
      </c>
      <c r="J13" s="178">
        <f>Expenditure!$AL$13</f>
        <v>19123.63116476516</v>
      </c>
      <c r="K13" s="179">
        <f>Expenditure!$AL$14</f>
        <v>10165.692658577014</v>
      </c>
      <c r="L13" s="546"/>
    </row>
    <row r="14" spans="1:12" ht="16.5" hidden="1" x14ac:dyDescent="0.25">
      <c r="B14" s="545"/>
      <c r="C14" s="282"/>
      <c r="D14" s="168"/>
      <c r="E14" s="168"/>
      <c r="F14" s="168"/>
      <c r="G14" s="328"/>
      <c r="H14" s="547"/>
      <c r="I14" s="328"/>
      <c r="J14" s="168"/>
      <c r="K14" s="172"/>
      <c r="L14" s="546"/>
    </row>
    <row r="15" spans="1:12" ht="16.5" hidden="1" customHeight="1" x14ac:dyDescent="0.25">
      <c r="B15" s="600" t="s">
        <v>420</v>
      </c>
      <c r="C15" s="282" t="s">
        <v>396</v>
      </c>
      <c r="D15" s="168">
        <f t="array" ref="D15">ROUND(MIN(IF($C$6:$C$13=$C15,D$6:D$13)),0)</f>
        <v>542140784</v>
      </c>
      <c r="E15" s="168">
        <f t="array" ref="E15">ROUND(MIN(IF($C$6:$C$13=$C15,E$6:E$13)),0)</f>
        <v>293985</v>
      </c>
      <c r="F15" s="168">
        <f t="array" ref="F15">ROUND(MIN(IF($C$6:$C$13=$C15,F$6:F$13)),0)</f>
        <v>-12228721</v>
      </c>
      <c r="G15" s="328">
        <f t="array" ref="G15">ROUND(MIN(IF($C$6:$C$13=$C15,G$6:G$13)),0)</f>
        <v>-8702</v>
      </c>
      <c r="H15" s="543">
        <f t="array" ref="H15">ROUND(MIN(IF($C$6:$C$13=$C15,(H$6:H$13)*100)),0)</f>
        <v>77</v>
      </c>
      <c r="I15" s="328">
        <f t="array" ref="I15">ROUND(MIN(IF($C$6:$C$13=$C15,I$6:I$13)),0)</f>
        <v>13945</v>
      </c>
      <c r="J15" s="168">
        <f t="array" ref="J15">ROUND(MIN(IF($C$6:$C$13=$C15,J$6:J$13)),0)</f>
        <v>15633</v>
      </c>
      <c r="K15" s="172">
        <f t="array" ref="K15">ROUND(MIN(IF($C$6:$C$13=$C15,K$6:K$13)),2)</f>
        <v>10164.799999999999</v>
      </c>
    </row>
    <row r="16" spans="1:12" ht="16.5" hidden="1" customHeight="1" x14ac:dyDescent="0.25">
      <c r="B16" s="600"/>
      <c r="C16" s="282"/>
      <c r="D16" s="168"/>
      <c r="E16" s="168"/>
      <c r="F16" s="168"/>
      <c r="G16" s="328"/>
      <c r="H16" s="543"/>
      <c r="I16" s="328"/>
      <c r="J16" s="168"/>
      <c r="K16" s="172"/>
    </row>
    <row r="17" spans="2:11" ht="16.5" hidden="1" customHeight="1" x14ac:dyDescent="0.25">
      <c r="B17" s="600"/>
      <c r="C17" s="282" t="s">
        <v>397</v>
      </c>
      <c r="D17" s="168">
        <f t="array" ref="D17">ROUND(MIN(IF($C$6:$C$13=$C17,D$6:D$13)),0)</f>
        <v>543950693</v>
      </c>
      <c r="E17" s="168">
        <f t="array" ref="E17">ROUND(MIN(IF($C$6:$C$13=$C17,E$6:E$13)),0)</f>
        <v>6460340</v>
      </c>
      <c r="F17" s="168">
        <f t="array" ref="F17">ROUND(MIN(IF($C$6:$C$13=$C17,F$6:F$13)),0)</f>
        <v>-27509091</v>
      </c>
      <c r="G17" s="328">
        <f t="array" ref="G17">ROUND(MIN(IF($C$6:$C$13=$C17,G$6:G$13)),0)</f>
        <v>-3636</v>
      </c>
      <c r="H17" s="543">
        <f t="array" ref="H17">ROUND(MIN(IF($C$6:$C$13=$C17,(H$6:H$13)*100)),0)</f>
        <v>34</v>
      </c>
      <c r="I17" s="328">
        <f t="array" ref="I17">ROUND(MIN(IF($C$6:$C$13=$C17,I$6:I$13)),0)</f>
        <v>13992</v>
      </c>
      <c r="J17" s="168">
        <f t="array" ref="J17">ROUND(MIN(IF($C$6:$C$13=$C17,J$6:J$13)),0)</f>
        <v>15865</v>
      </c>
      <c r="K17" s="172">
        <f t="array" ref="K17">ROUND(MIN(IF($C$6:$C$13=$C17,K$6:K$13)),2)</f>
        <v>10164.83</v>
      </c>
    </row>
    <row r="18" spans="2:11" ht="16.5" hidden="1" customHeight="1" x14ac:dyDescent="0.25">
      <c r="B18" s="545"/>
      <c r="C18" s="282"/>
      <c r="D18" s="168"/>
      <c r="E18" s="168"/>
      <c r="F18" s="168"/>
      <c r="G18" s="328"/>
      <c r="H18" s="543"/>
      <c r="I18" s="328"/>
      <c r="J18" s="168"/>
      <c r="K18" s="172"/>
    </row>
    <row r="19" spans="2:11" ht="16.5" hidden="1" customHeight="1" thickBot="1" x14ac:dyDescent="0.3">
      <c r="B19" s="600" t="s">
        <v>421</v>
      </c>
      <c r="C19" s="282" t="s">
        <v>396</v>
      </c>
      <c r="D19" s="168">
        <f t="array" ref="D19">ROUND(MAX(IF($C$6:$C$13=$C19,D$6:D$13)),0)</f>
        <v>552677010</v>
      </c>
      <c r="E19" s="168">
        <f t="array" ref="E19">ROUND(MAX(IF($C$6:$C$13=$C19,E$6:E$13)),0)</f>
        <v>3563930</v>
      </c>
      <c r="F19" s="168">
        <f t="array" ref="F19">ROUND(MAX(IF($C$6:$C$13=$C19,F$6:F$13)),0)</f>
        <v>-1692495</v>
      </c>
      <c r="G19" s="328">
        <f t="array" ref="G19">ROUND(MAX(IF($C$6:$C$13=$C19,G$6:G$13)),0)</f>
        <v>-7813</v>
      </c>
      <c r="H19" s="543">
        <f t="array" ref="H19">ROUND(MAX(IF($C$6:$C$13=$C19,(H$6:H$13)*100)),0)</f>
        <v>86</v>
      </c>
      <c r="I19" s="328">
        <f t="array" ref="I19">ROUND(MAX(IF($C$6:$C$13=$C19,I$6:I$13)),0)</f>
        <v>14216</v>
      </c>
      <c r="J19" s="168">
        <f t="array" ref="J19">ROUND(MAX(IF($C$6:$C$13=$C19,J$6:J$13)),0)</f>
        <v>16338</v>
      </c>
      <c r="K19" s="172">
        <f t="array" ref="K19">ROUND(MAX(IF($C$6:$C$13=$C19,K$6:K$13)),2)</f>
        <v>10166.35</v>
      </c>
    </row>
    <row r="20" spans="2:11" ht="16.5" hidden="1" customHeight="1" x14ac:dyDescent="0.25">
      <c r="B20" s="600"/>
      <c r="C20" s="282"/>
      <c r="D20" s="168"/>
      <c r="E20" s="168"/>
      <c r="F20" s="168"/>
      <c r="G20" s="328"/>
      <c r="H20" s="543"/>
      <c r="I20" s="328"/>
      <c r="J20" s="168"/>
      <c r="K20" s="172"/>
    </row>
    <row r="21" spans="2:11" ht="16.5" hidden="1" customHeight="1" thickBot="1" x14ac:dyDescent="0.3">
      <c r="B21" s="600"/>
      <c r="C21" s="282" t="s">
        <v>397</v>
      </c>
      <c r="D21" s="168">
        <f t="array" ref="D21">ROUND(MAX(IF($C$6:$C$13=$C21,D$6:D$13)),0)</f>
        <v>568053849</v>
      </c>
      <c r="E21" s="168">
        <f t="array" ref="E21">ROUND(MAX(IF($C$6:$C$13=$C21,E$6:E$13)),0)</f>
        <v>51535608</v>
      </c>
      <c r="F21" s="168">
        <f t="array" ref="F21">ROUND(MAX(IF($C$6:$C$13=$C21,F$6:F$13)),0)</f>
        <v>-3405934</v>
      </c>
      <c r="G21" s="328">
        <f t="array" ref="G21">ROUND(MAX(IF($C$6:$C$13=$C21,G$6:G$13)),0)</f>
        <v>-3506</v>
      </c>
      <c r="H21" s="543">
        <f t="array" ref="H21">ROUND(MAX(IF($C$6:$C$13=$C21,(H$6:H$13)*100)),0)</f>
        <v>36</v>
      </c>
      <c r="I21" s="328">
        <f t="array" ref="I21">ROUND(MAX(IF($C$6:$C$13=$C21,I$6:I$13)),0)</f>
        <v>14612</v>
      </c>
      <c r="J21" s="168">
        <f t="array" ref="J21">ROUND(MAX(IF($C$6:$C$13=$C21,J$6:J$13)),0)</f>
        <v>19124</v>
      </c>
      <c r="K21" s="172">
        <f t="array" ref="K21">ROUND(MAX(IF($C$6:$C$13=$C21,K$6:K$13)),2)</f>
        <v>10166.219999999999</v>
      </c>
    </row>
    <row r="22" spans="2:11" ht="16.5" hidden="1" customHeight="1" x14ac:dyDescent="0.25">
      <c r="B22" s="600" t="s">
        <v>563</v>
      </c>
      <c r="C22" s="282" t="s">
        <v>396</v>
      </c>
      <c r="D22" s="167" t="str">
        <f>TEXT(D15,"$#,##0")</f>
        <v>$542,140,784</v>
      </c>
      <c r="E22" s="167" t="str">
        <f>TEXT(E15,"$#,##0")</f>
        <v>$293,985</v>
      </c>
      <c r="F22" s="167" t="str">
        <f>TEXT(F15,"$#,##0")</f>
        <v>-$12,228,721</v>
      </c>
      <c r="G22" s="329" t="str">
        <f>TEXT(G15,"$#,##0")</f>
        <v>-$8,702</v>
      </c>
      <c r="H22" s="544" t="str">
        <f>TEXT(H15/100,"#%")</f>
        <v>77%</v>
      </c>
      <c r="I22" s="329" t="str">
        <f>TEXT(I15,"$#,##0")</f>
        <v>$13,945</v>
      </c>
      <c r="J22" s="167" t="str">
        <f>TEXT(J15,"$#,##0")</f>
        <v>$15,633</v>
      </c>
      <c r="K22" s="173" t="str">
        <f>TEXT(K15,"$#,##0")</f>
        <v>$10,165</v>
      </c>
    </row>
    <row r="23" spans="2:11" ht="16.5" hidden="1" customHeight="1" x14ac:dyDescent="0.25">
      <c r="B23" s="600"/>
      <c r="C23" s="282" t="s">
        <v>397</v>
      </c>
      <c r="D23" s="167" t="str">
        <f>TEXT(D17,"$#,##0")</f>
        <v>$543,950,693</v>
      </c>
      <c r="E23" s="167" t="str">
        <f>TEXT(E17,"$#,##0")</f>
        <v>$6,460,340</v>
      </c>
      <c r="F23" s="167" t="str">
        <f>TEXT(F17,"$#,##0")</f>
        <v>-$27,509,091</v>
      </c>
      <c r="G23" s="329" t="str">
        <f>TEXT(G17,"$#,##0")</f>
        <v>-$3,636</v>
      </c>
      <c r="H23" s="544" t="str">
        <f>TEXT(H17/100,"#%")</f>
        <v>34%</v>
      </c>
      <c r="I23" s="329" t="str">
        <f>TEXT(I17,"$#,##0")</f>
        <v>$13,992</v>
      </c>
      <c r="J23" s="167" t="str">
        <f>TEXT(J17,"$#,##0")</f>
        <v>$15,865</v>
      </c>
      <c r="K23" s="173" t="str">
        <f>TEXT(K17,"$#,##0")</f>
        <v>$10,165</v>
      </c>
    </row>
    <row r="24" spans="2:11" ht="16.5" hidden="1" customHeight="1" x14ac:dyDescent="0.25">
      <c r="B24" s="600" t="s">
        <v>564</v>
      </c>
      <c r="C24" s="282" t="s">
        <v>396</v>
      </c>
      <c r="D24" s="167" t="str">
        <f>TEXT(D19,"$#,##0")</f>
        <v>$552,677,010</v>
      </c>
      <c r="E24" s="167" t="str">
        <f>TEXT(E19,"$#,##0")</f>
        <v>$3,563,930</v>
      </c>
      <c r="F24" s="167" t="str">
        <f>TEXT(F19,"$#,##0")</f>
        <v>-$1,692,495</v>
      </c>
      <c r="G24" s="329" t="str">
        <f>TEXT(G19,"$#,##0")</f>
        <v>-$7,813</v>
      </c>
      <c r="H24" s="544" t="str">
        <f>TEXT(H19/100,"#%")</f>
        <v>86%</v>
      </c>
      <c r="I24" s="329" t="str">
        <f>TEXT(I19,"$#,##0")</f>
        <v>$14,216</v>
      </c>
      <c r="J24" s="167" t="str">
        <f>TEXT(J19,"$#,##0")</f>
        <v>$16,338</v>
      </c>
      <c r="K24" s="173" t="str">
        <f>TEXT(K19,"$#,##0")</f>
        <v>$10,166</v>
      </c>
    </row>
    <row r="25" spans="2:11" ht="17.25" hidden="1" thickBot="1" x14ac:dyDescent="0.3">
      <c r="B25" s="600"/>
      <c r="C25" s="282" t="s">
        <v>397</v>
      </c>
      <c r="D25" s="167" t="str">
        <f t="shared" ref="D25:J25" si="1">TEXT(D21,"$#,##0")</f>
        <v>$568,053,849</v>
      </c>
      <c r="E25" s="167" t="str">
        <f t="shared" si="1"/>
        <v>$51,535,608</v>
      </c>
      <c r="F25" s="167" t="str">
        <f t="shared" si="1"/>
        <v>-$3,405,934</v>
      </c>
      <c r="G25" s="329" t="str">
        <f t="shared" si="1"/>
        <v>-$3,506</v>
      </c>
      <c r="H25" s="544" t="str">
        <f t="shared" ref="H25" si="2">TEXT(H21/100,"#%")</f>
        <v>36%</v>
      </c>
      <c r="I25" s="329" t="str">
        <f t="shared" ref="I25:K25" si="3">TEXT(I21,"$#,##0")</f>
        <v>$14,612</v>
      </c>
      <c r="J25" s="167" t="str">
        <f t="shared" si="1"/>
        <v>$19,124</v>
      </c>
      <c r="K25" s="173" t="str">
        <f t="shared" si="3"/>
        <v>$10,166</v>
      </c>
    </row>
    <row r="26" spans="2:11" ht="35.25" customHeight="1" x14ac:dyDescent="0.25">
      <c r="B26" s="598" t="s">
        <v>419</v>
      </c>
      <c r="C26" s="281" t="s">
        <v>396</v>
      </c>
      <c r="D26" s="499" t="str">
        <f t="shared" ref="D26:K27" si="4">CONCATENATE(D22," to ",D24)</f>
        <v>$542,140,784 to $552,677,010</v>
      </c>
      <c r="E26" s="499" t="str">
        <f t="shared" si="4"/>
        <v>$293,985 to $3,563,930</v>
      </c>
      <c r="F26" s="499" t="str">
        <f t="shared" si="4"/>
        <v>-$12,228,721 to -$1,692,495</v>
      </c>
      <c r="G26" s="500" t="str">
        <f t="shared" si="4"/>
        <v>-$8,702 to -$7,813</v>
      </c>
      <c r="H26" s="500" t="str">
        <f t="shared" si="4"/>
        <v>77% to 86%</v>
      </c>
      <c r="I26" s="500" t="str">
        <f t="shared" si="4"/>
        <v>$13,945 to $14,216</v>
      </c>
      <c r="J26" s="279" t="str">
        <f t="shared" si="4"/>
        <v>$15,633 to $16,338</v>
      </c>
      <c r="K26" s="280" t="str">
        <f t="shared" si="4"/>
        <v>$10,165 to $10,166</v>
      </c>
    </row>
    <row r="27" spans="2:11" ht="33" customHeight="1" thickBot="1" x14ac:dyDescent="0.3">
      <c r="B27" s="599"/>
      <c r="C27" s="283" t="s">
        <v>397</v>
      </c>
      <c r="D27" s="501" t="str">
        <f t="shared" si="4"/>
        <v>$543,950,693 to $568,053,849</v>
      </c>
      <c r="E27" s="501" t="str">
        <f t="shared" si="4"/>
        <v>$6,460,340 to $51,535,608</v>
      </c>
      <c r="F27" s="501" t="str">
        <f t="shared" si="4"/>
        <v>-$27,509,091 to -$3,405,934</v>
      </c>
      <c r="G27" s="502" t="str">
        <f t="shared" si="4"/>
        <v>-$3,636 to -$3,506</v>
      </c>
      <c r="H27" s="502" t="str">
        <f t="shared" si="4"/>
        <v>34% to 36%</v>
      </c>
      <c r="I27" s="502" t="str">
        <f t="shared" si="4"/>
        <v>$13,992 to $14,612</v>
      </c>
      <c r="J27" s="276" t="str">
        <f t="shared" si="4"/>
        <v>$15,865 to $19,124</v>
      </c>
      <c r="K27" s="277" t="str">
        <f t="shared" si="4"/>
        <v>$10,165 to $10,166</v>
      </c>
    </row>
  </sheetData>
  <mergeCells count="10">
    <mergeCell ref="B26:B27"/>
    <mergeCell ref="B15:B17"/>
    <mergeCell ref="B19:B21"/>
    <mergeCell ref="B22:B23"/>
    <mergeCell ref="B24:B25"/>
    <mergeCell ref="B6:B7"/>
    <mergeCell ref="B8:B9"/>
    <mergeCell ref="B10:B11"/>
    <mergeCell ref="B12:B13"/>
    <mergeCell ref="B2:K2"/>
  </mergeCells>
  <conditionalFormatting sqref="F5:J14 E6:E14 E22:H25 J22:J25 E26:J27">
    <cfRule type="containsErrors" dxfId="15" priority="16">
      <formula>ISERROR(E5)</formula>
    </cfRule>
  </conditionalFormatting>
  <conditionalFormatting sqref="E19:G21 J19:J21">
    <cfRule type="containsErrors" dxfId="14" priority="14">
      <formula>ISERROR(E19)</formula>
    </cfRule>
  </conditionalFormatting>
  <conditionalFormatting sqref="E15:H16 J15:J18 E17:G18 H17:H21">
    <cfRule type="containsErrors" dxfId="13" priority="15">
      <formula>ISERROR(E15)</formula>
    </cfRule>
  </conditionalFormatting>
  <conditionalFormatting sqref="K5:K14">
    <cfRule type="containsErrors" dxfId="12" priority="13">
      <formula>ISERROR(K5)</formula>
    </cfRule>
  </conditionalFormatting>
  <conditionalFormatting sqref="K26:K27">
    <cfRule type="containsErrors" dxfId="11" priority="12">
      <formula>ISERROR(K26)</formula>
    </cfRule>
  </conditionalFormatting>
  <conditionalFormatting sqref="K22:K25">
    <cfRule type="containsErrors" dxfId="10" priority="11">
      <formula>ISERROR(K22)</formula>
    </cfRule>
  </conditionalFormatting>
  <conditionalFormatting sqref="K19:K21">
    <cfRule type="containsErrors" dxfId="9" priority="9">
      <formula>ISERROR(K19)</formula>
    </cfRule>
  </conditionalFormatting>
  <conditionalFormatting sqref="K15:K18">
    <cfRule type="containsErrors" dxfId="8" priority="10">
      <formula>ISERROR(K15)</formula>
    </cfRule>
  </conditionalFormatting>
  <conditionalFormatting sqref="E5">
    <cfRule type="containsErrors" dxfId="7" priority="8">
      <formula>ISERROR(E5)</formula>
    </cfRule>
  </conditionalFormatting>
  <conditionalFormatting sqref="D22:D27 D6:D14">
    <cfRule type="containsErrors" dxfId="6" priority="7">
      <formula>ISERROR(D6)</formula>
    </cfRule>
  </conditionalFormatting>
  <conditionalFormatting sqref="D19:D21">
    <cfRule type="containsErrors" dxfId="5" priority="5">
      <formula>ISERROR(D19)</formula>
    </cfRule>
  </conditionalFormatting>
  <conditionalFormatting sqref="D15:D18">
    <cfRule type="containsErrors" dxfId="4" priority="6">
      <formula>ISERROR(D15)</formula>
    </cfRule>
  </conditionalFormatting>
  <conditionalFormatting sqref="D5">
    <cfRule type="containsErrors" dxfId="3" priority="4">
      <formula>ISERROR(D5)</formula>
    </cfRule>
  </conditionalFormatting>
  <conditionalFormatting sqref="I22:I25">
    <cfRule type="containsErrors" dxfId="2" priority="3">
      <formula>ISERROR(I22)</formula>
    </cfRule>
  </conditionalFormatting>
  <conditionalFormatting sqref="I19:I21">
    <cfRule type="containsErrors" dxfId="1" priority="1">
      <formula>ISERROR(I19)</formula>
    </cfRule>
  </conditionalFormatting>
  <conditionalFormatting sqref="I15:I18">
    <cfRule type="containsErrors" dxfId="0" priority="2">
      <formula>ISERROR(I15)</formula>
    </cfRule>
  </conditionalFormatting>
  <hyperlinks>
    <hyperlink ref="F3" location="'Terms and Notes'!B14" display="'Terms and Notes'!B14"/>
    <hyperlink ref="J3" location="'Terms and Notes'!B15" display="*"/>
    <hyperlink ref="K3" location="'Terms and Notes'!B16" display="*"/>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64"/>
  <sheetViews>
    <sheetView workbookViewId="0">
      <selection activeCell="E21" sqref="E21"/>
    </sheetView>
  </sheetViews>
  <sheetFormatPr defaultColWidth="8.7109375" defaultRowHeight="13.5" x14ac:dyDescent="0.25"/>
  <cols>
    <col min="1" max="1" width="13.7109375" style="11" customWidth="1"/>
    <col min="2" max="2" width="40.7109375" style="14" customWidth="1"/>
    <col min="3" max="3" width="19.42578125" style="11" customWidth="1"/>
    <col min="4" max="4" width="13" style="11" customWidth="1"/>
    <col min="5" max="5" width="14.28515625" style="11" customWidth="1"/>
    <col min="6" max="6" width="11.42578125" style="12" customWidth="1"/>
    <col min="7" max="7" width="13.7109375" style="11" customWidth="1"/>
    <col min="8" max="16384" width="8.7109375" style="11"/>
  </cols>
  <sheetData>
    <row r="1" spans="1:12" x14ac:dyDescent="0.25">
      <c r="B1" s="15"/>
    </row>
    <row r="2" spans="1:12" x14ac:dyDescent="0.25">
      <c r="B2" s="15" t="s">
        <v>77</v>
      </c>
      <c r="C2" s="2"/>
      <c r="D2" s="2"/>
      <c r="F2" s="3"/>
    </row>
    <row r="3" spans="1:12" x14ac:dyDescent="0.25">
      <c r="B3" s="16"/>
      <c r="C3" s="5"/>
      <c r="D3" s="5"/>
      <c r="F3" s="6"/>
    </row>
    <row r="4" spans="1:12" x14ac:dyDescent="0.25">
      <c r="B4" s="16"/>
      <c r="E4" s="601" t="s">
        <v>177</v>
      </c>
      <c r="F4" s="601"/>
      <c r="G4" s="601"/>
      <c r="H4" s="11" t="s">
        <v>86</v>
      </c>
      <c r="J4" s="11" t="s">
        <v>87</v>
      </c>
      <c r="L4" s="11" t="s">
        <v>88</v>
      </c>
    </row>
    <row r="5" spans="1:12" ht="15.75" x14ac:dyDescent="0.3">
      <c r="A5" s="36" t="s">
        <v>94</v>
      </c>
      <c r="B5" s="37" t="s">
        <v>179</v>
      </c>
      <c r="C5" s="2" t="s">
        <v>78</v>
      </c>
      <c r="D5" s="2" t="s">
        <v>191</v>
      </c>
      <c r="E5" s="13" t="s">
        <v>192</v>
      </c>
      <c r="F5" s="3" t="s">
        <v>176</v>
      </c>
      <c r="G5" s="13" t="s">
        <v>180</v>
      </c>
    </row>
    <row r="6" spans="1:12" ht="15.75" x14ac:dyDescent="0.3">
      <c r="A6" s="36"/>
      <c r="B6" s="37"/>
      <c r="C6" s="2"/>
      <c r="D6" s="2"/>
      <c r="E6" s="13"/>
      <c r="F6" s="3"/>
      <c r="G6" s="13"/>
    </row>
    <row r="7" spans="1:12" s="29" customFormat="1" ht="16.5" x14ac:dyDescent="0.3">
      <c r="A7" s="26">
        <v>1000</v>
      </c>
      <c r="B7" s="35" t="s">
        <v>105</v>
      </c>
      <c r="C7" s="27"/>
      <c r="D7" s="27"/>
      <c r="F7" s="28"/>
    </row>
    <row r="8" spans="1:12" s="25" customFormat="1" ht="15.75" x14ac:dyDescent="0.3">
      <c r="A8" s="21">
        <v>1100</v>
      </c>
      <c r="B8" s="22" t="s">
        <v>175</v>
      </c>
      <c r="C8" s="23"/>
      <c r="D8" s="23"/>
      <c r="F8" s="24"/>
    </row>
    <row r="9" spans="1:12" x14ac:dyDescent="0.25">
      <c r="A9" s="20">
        <v>1110</v>
      </c>
      <c r="B9" s="30" t="s">
        <v>106</v>
      </c>
      <c r="C9" s="7"/>
      <c r="D9" s="7"/>
      <c r="F9" s="8"/>
    </row>
    <row r="10" spans="1:12" x14ac:dyDescent="0.25">
      <c r="A10" s="34" t="s">
        <v>96</v>
      </c>
      <c r="B10" s="19" t="s">
        <v>95</v>
      </c>
      <c r="C10" s="7"/>
      <c r="D10" s="7"/>
      <c r="F10" s="8"/>
    </row>
    <row r="11" spans="1:12" x14ac:dyDescent="0.25">
      <c r="A11" s="32" t="s">
        <v>126</v>
      </c>
      <c r="B11" s="31" t="s">
        <v>128</v>
      </c>
      <c r="C11" s="7"/>
      <c r="D11" s="7"/>
      <c r="F11" s="8"/>
    </row>
    <row r="12" spans="1:12" x14ac:dyDescent="0.25">
      <c r="A12" s="32" t="s">
        <v>127</v>
      </c>
      <c r="B12" s="31" t="s">
        <v>129</v>
      </c>
      <c r="C12" s="7"/>
      <c r="D12" s="7"/>
      <c r="F12" s="8"/>
    </row>
    <row r="13" spans="1:12" x14ac:dyDescent="0.25">
      <c r="A13" s="32" t="s">
        <v>130</v>
      </c>
      <c r="B13" s="31" t="s">
        <v>131</v>
      </c>
      <c r="C13" s="7"/>
      <c r="D13" s="7"/>
      <c r="F13" s="8"/>
    </row>
    <row r="14" spans="1:12" x14ac:dyDescent="0.25">
      <c r="A14" s="34" t="s">
        <v>97</v>
      </c>
      <c r="B14" s="19" t="s">
        <v>107</v>
      </c>
      <c r="C14" s="7"/>
      <c r="D14" s="7"/>
      <c r="F14" s="8"/>
    </row>
    <row r="15" spans="1:12" ht="25.5" x14ac:dyDescent="0.25">
      <c r="A15" s="34" t="s">
        <v>98</v>
      </c>
      <c r="B15" s="19" t="s">
        <v>108</v>
      </c>
      <c r="C15" s="7"/>
      <c r="D15" s="7"/>
      <c r="F15" s="8"/>
    </row>
    <row r="16" spans="1:12" x14ac:dyDescent="0.25">
      <c r="A16" s="34" t="s">
        <v>99</v>
      </c>
      <c r="B16" s="19" t="s">
        <v>109</v>
      </c>
      <c r="C16" s="7"/>
      <c r="D16" s="7"/>
      <c r="F16" s="8"/>
    </row>
    <row r="17" spans="1:6" x14ac:dyDescent="0.25">
      <c r="A17" s="34" t="s">
        <v>100</v>
      </c>
      <c r="B17" s="19" t="s">
        <v>110</v>
      </c>
      <c r="C17" s="7"/>
      <c r="D17" s="7"/>
      <c r="F17" s="8"/>
    </row>
    <row r="18" spans="1:6" x14ac:dyDescent="0.25">
      <c r="A18" s="34" t="s">
        <v>101</v>
      </c>
      <c r="B18" s="19" t="s">
        <v>111</v>
      </c>
      <c r="C18" s="7"/>
      <c r="D18" s="7"/>
      <c r="F18" s="8"/>
    </row>
    <row r="19" spans="1:6" x14ac:dyDescent="0.25">
      <c r="A19" s="34" t="s">
        <v>102</v>
      </c>
      <c r="B19" s="19" t="s">
        <v>112</v>
      </c>
      <c r="C19" s="7"/>
      <c r="D19" s="7"/>
      <c r="F19" s="8"/>
    </row>
    <row r="20" spans="1:6" x14ac:dyDescent="0.25">
      <c r="A20" s="34" t="s">
        <v>103</v>
      </c>
      <c r="B20" s="19" t="s">
        <v>113</v>
      </c>
      <c r="C20" s="7"/>
      <c r="D20" s="7"/>
      <c r="F20" s="8"/>
    </row>
    <row r="21" spans="1:6" x14ac:dyDescent="0.25">
      <c r="A21" s="34" t="s">
        <v>104</v>
      </c>
      <c r="B21" s="19" t="s">
        <v>114</v>
      </c>
      <c r="C21" s="7"/>
      <c r="D21" s="7"/>
      <c r="F21" s="8"/>
    </row>
    <row r="22" spans="1:6" x14ac:dyDescent="0.25">
      <c r="A22" s="20">
        <v>1140</v>
      </c>
      <c r="B22" s="33" t="s">
        <v>115</v>
      </c>
      <c r="C22" s="7"/>
      <c r="D22" s="7"/>
      <c r="F22" s="8"/>
    </row>
    <row r="23" spans="1:6" x14ac:dyDescent="0.25">
      <c r="A23" s="34" t="s">
        <v>117</v>
      </c>
      <c r="B23" s="19" t="s">
        <v>95</v>
      </c>
      <c r="C23" s="7"/>
      <c r="D23" s="7"/>
      <c r="F23" s="8"/>
    </row>
    <row r="24" spans="1:6" x14ac:dyDescent="0.25">
      <c r="A24" s="32" t="s">
        <v>181</v>
      </c>
      <c r="B24" s="31" t="s">
        <v>128</v>
      </c>
      <c r="C24" s="7"/>
      <c r="D24" s="7"/>
      <c r="F24" s="8"/>
    </row>
    <row r="25" spans="1:6" x14ac:dyDescent="0.25">
      <c r="A25" s="32" t="s">
        <v>182</v>
      </c>
      <c r="B25" s="31" t="s">
        <v>129</v>
      </c>
      <c r="C25" s="7"/>
      <c r="D25" s="7"/>
      <c r="F25" s="8"/>
    </row>
    <row r="26" spans="1:6" x14ac:dyDescent="0.25">
      <c r="A26" s="32" t="s">
        <v>183</v>
      </c>
      <c r="B26" s="31" t="s">
        <v>131</v>
      </c>
      <c r="C26" s="7"/>
      <c r="D26" s="7"/>
      <c r="F26" s="8"/>
    </row>
    <row r="27" spans="1:6" x14ac:dyDescent="0.25">
      <c r="A27" s="34" t="s">
        <v>118</v>
      </c>
      <c r="B27" s="19" t="s">
        <v>107</v>
      </c>
      <c r="C27" s="7"/>
      <c r="D27" s="7"/>
      <c r="F27" s="8"/>
    </row>
    <row r="28" spans="1:6" ht="25.5" x14ac:dyDescent="0.25">
      <c r="A28" s="34" t="s">
        <v>119</v>
      </c>
      <c r="B28" s="19" t="s">
        <v>108</v>
      </c>
      <c r="C28" s="7"/>
      <c r="D28" s="7"/>
      <c r="F28" s="8"/>
    </row>
    <row r="29" spans="1:6" x14ac:dyDescent="0.25">
      <c r="A29" s="34" t="s">
        <v>120</v>
      </c>
      <c r="B29" s="19" t="s">
        <v>109</v>
      </c>
      <c r="C29" s="7"/>
      <c r="D29" s="7"/>
      <c r="F29" s="8"/>
    </row>
    <row r="30" spans="1:6" x14ac:dyDescent="0.25">
      <c r="A30" s="34" t="s">
        <v>121</v>
      </c>
      <c r="B30" s="19" t="s">
        <v>110</v>
      </c>
      <c r="C30" s="7"/>
      <c r="D30" s="7"/>
      <c r="F30" s="8"/>
    </row>
    <row r="31" spans="1:6" x14ac:dyDescent="0.25">
      <c r="A31" s="34" t="s">
        <v>122</v>
      </c>
      <c r="B31" s="19" t="s">
        <v>111</v>
      </c>
      <c r="C31" s="7"/>
      <c r="D31" s="7"/>
      <c r="F31" s="8"/>
    </row>
    <row r="32" spans="1:6" x14ac:dyDescent="0.25">
      <c r="A32" s="34" t="s">
        <v>123</v>
      </c>
      <c r="B32" s="19" t="s">
        <v>112</v>
      </c>
      <c r="C32" s="7"/>
      <c r="D32" s="7"/>
      <c r="F32" s="8"/>
    </row>
    <row r="33" spans="1:6" x14ac:dyDescent="0.25">
      <c r="A33" s="34" t="s">
        <v>124</v>
      </c>
      <c r="B33" s="19" t="s">
        <v>113</v>
      </c>
      <c r="C33" s="7"/>
      <c r="D33" s="7"/>
      <c r="F33" s="8"/>
    </row>
    <row r="34" spans="1:6" x14ac:dyDescent="0.25">
      <c r="A34" s="34" t="s">
        <v>125</v>
      </c>
      <c r="B34" s="19" t="s">
        <v>114</v>
      </c>
      <c r="C34" s="7"/>
      <c r="D34" s="7"/>
      <c r="F34" s="8"/>
    </row>
    <row r="35" spans="1:6" x14ac:dyDescent="0.25">
      <c r="A35" s="20">
        <v>1190</v>
      </c>
      <c r="B35" s="33" t="s">
        <v>116</v>
      </c>
      <c r="C35" s="7"/>
      <c r="D35" s="7"/>
      <c r="F35" s="8"/>
    </row>
    <row r="36" spans="1:6" x14ac:dyDescent="0.25">
      <c r="B36" s="18"/>
      <c r="C36" s="7"/>
      <c r="D36" s="7"/>
      <c r="F36" s="8"/>
    </row>
    <row r="37" spans="1:6" ht="15.75" x14ac:dyDescent="0.3">
      <c r="A37" s="21">
        <v>1200</v>
      </c>
      <c r="B37" s="22" t="s">
        <v>132</v>
      </c>
      <c r="C37" s="7"/>
      <c r="D37" s="7"/>
      <c r="F37" s="8"/>
    </row>
    <row r="38" spans="1:6" ht="27" x14ac:dyDescent="0.25">
      <c r="A38" s="20" t="s">
        <v>138</v>
      </c>
      <c r="B38" s="30" t="s">
        <v>139</v>
      </c>
      <c r="C38" s="7"/>
      <c r="D38" s="7"/>
      <c r="F38" s="8"/>
    </row>
    <row r="39" spans="1:6" x14ac:dyDescent="0.25">
      <c r="A39" s="34" t="s">
        <v>140</v>
      </c>
      <c r="B39" s="19" t="s">
        <v>95</v>
      </c>
      <c r="C39" s="7"/>
      <c r="D39" s="7"/>
      <c r="F39" s="8"/>
    </row>
    <row r="40" spans="1:6" x14ac:dyDescent="0.25">
      <c r="A40" s="32" t="s">
        <v>141</v>
      </c>
      <c r="B40" s="31" t="s">
        <v>128</v>
      </c>
      <c r="C40" s="7"/>
      <c r="D40" s="7"/>
      <c r="F40" s="8"/>
    </row>
    <row r="41" spans="1:6" x14ac:dyDescent="0.25">
      <c r="A41" s="32" t="s">
        <v>142</v>
      </c>
      <c r="B41" s="31" t="s">
        <v>129</v>
      </c>
      <c r="C41" s="7"/>
      <c r="D41" s="7"/>
      <c r="F41" s="8"/>
    </row>
    <row r="42" spans="1:6" x14ac:dyDescent="0.25">
      <c r="A42" s="32" t="s">
        <v>143</v>
      </c>
      <c r="B42" s="31" t="s">
        <v>131</v>
      </c>
      <c r="C42" s="7"/>
      <c r="D42" s="7"/>
      <c r="F42" s="8"/>
    </row>
    <row r="43" spans="1:6" x14ac:dyDescent="0.25">
      <c r="A43" s="34" t="s">
        <v>144</v>
      </c>
      <c r="B43" s="19" t="s">
        <v>107</v>
      </c>
      <c r="C43" s="7"/>
      <c r="D43" s="7"/>
      <c r="F43" s="8"/>
    </row>
    <row r="44" spans="1:6" ht="25.5" x14ac:dyDescent="0.25">
      <c r="A44" s="34" t="s">
        <v>145</v>
      </c>
      <c r="B44" s="19" t="s">
        <v>108</v>
      </c>
      <c r="C44" s="7"/>
      <c r="D44" s="7"/>
      <c r="F44" s="8"/>
    </row>
    <row r="45" spans="1:6" x14ac:dyDescent="0.25">
      <c r="A45" s="34" t="s">
        <v>146</v>
      </c>
      <c r="B45" s="19" t="s">
        <v>109</v>
      </c>
      <c r="C45" s="7"/>
      <c r="D45" s="7"/>
      <c r="F45" s="8"/>
    </row>
    <row r="46" spans="1:6" x14ac:dyDescent="0.25">
      <c r="A46" s="34" t="s">
        <v>147</v>
      </c>
      <c r="B46" s="19" t="s">
        <v>110</v>
      </c>
      <c r="C46" s="7"/>
      <c r="D46" s="7"/>
      <c r="F46" s="8"/>
    </row>
    <row r="47" spans="1:6" x14ac:dyDescent="0.25">
      <c r="A47" s="34" t="s">
        <v>148</v>
      </c>
      <c r="B47" s="19" t="s">
        <v>111</v>
      </c>
      <c r="C47" s="7"/>
      <c r="D47" s="7"/>
      <c r="F47" s="8"/>
    </row>
    <row r="48" spans="1:6" x14ac:dyDescent="0.25">
      <c r="A48" s="34" t="s">
        <v>149</v>
      </c>
      <c r="B48" s="19" t="s">
        <v>112</v>
      </c>
      <c r="C48" s="7"/>
      <c r="D48" s="7"/>
      <c r="F48" s="8"/>
    </row>
    <row r="49" spans="1:6" x14ac:dyDescent="0.25">
      <c r="A49" s="34" t="s">
        <v>150</v>
      </c>
      <c r="B49" s="19" t="s">
        <v>113</v>
      </c>
      <c r="C49" s="7"/>
      <c r="D49" s="7"/>
      <c r="F49" s="8"/>
    </row>
    <row r="50" spans="1:6" x14ac:dyDescent="0.25">
      <c r="A50" s="34" t="s">
        <v>151</v>
      </c>
      <c r="B50" s="19" t="s">
        <v>114</v>
      </c>
      <c r="C50" s="7"/>
      <c r="D50" s="7"/>
      <c r="F50" s="8"/>
    </row>
    <row r="51" spans="1:6" x14ac:dyDescent="0.25">
      <c r="A51" s="20">
        <v>1240</v>
      </c>
      <c r="B51" s="30" t="s">
        <v>133</v>
      </c>
      <c r="C51" s="7"/>
      <c r="D51" s="7"/>
      <c r="F51" s="8"/>
    </row>
    <row r="52" spans="1:6" x14ac:dyDescent="0.25">
      <c r="A52" s="34" t="s">
        <v>158</v>
      </c>
      <c r="B52" s="19" t="s">
        <v>95</v>
      </c>
      <c r="C52" s="7"/>
      <c r="D52" s="7"/>
      <c r="F52" s="8"/>
    </row>
    <row r="53" spans="1:6" x14ac:dyDescent="0.25">
      <c r="A53" s="32" t="s">
        <v>152</v>
      </c>
      <c r="B53" s="31" t="s">
        <v>128</v>
      </c>
      <c r="C53" s="7"/>
      <c r="D53" s="7"/>
      <c r="F53" s="8"/>
    </row>
    <row r="54" spans="1:6" x14ac:dyDescent="0.25">
      <c r="A54" s="32" t="s">
        <v>153</v>
      </c>
      <c r="B54" s="31" t="s">
        <v>129</v>
      </c>
      <c r="C54" s="7"/>
      <c r="D54" s="7"/>
      <c r="F54" s="8"/>
    </row>
    <row r="55" spans="1:6" x14ac:dyDescent="0.25">
      <c r="A55" s="32" t="s">
        <v>154</v>
      </c>
      <c r="B55" s="31" t="s">
        <v>131</v>
      </c>
      <c r="C55" s="7"/>
      <c r="D55" s="7"/>
      <c r="F55" s="8"/>
    </row>
    <row r="56" spans="1:6" x14ac:dyDescent="0.25">
      <c r="A56" s="34" t="s">
        <v>155</v>
      </c>
      <c r="B56" s="19" t="s">
        <v>107</v>
      </c>
      <c r="C56" s="7"/>
      <c r="D56" s="7"/>
      <c r="F56" s="8"/>
    </row>
    <row r="57" spans="1:6" ht="25.5" x14ac:dyDescent="0.25">
      <c r="A57" s="34" t="s">
        <v>156</v>
      </c>
      <c r="B57" s="19" t="s">
        <v>108</v>
      </c>
      <c r="C57" s="7"/>
      <c r="D57" s="7"/>
      <c r="F57" s="8"/>
    </row>
    <row r="58" spans="1:6" x14ac:dyDescent="0.25">
      <c r="A58" s="34" t="s">
        <v>157</v>
      </c>
      <c r="B58" s="19" t="s">
        <v>109</v>
      </c>
      <c r="C58" s="7"/>
      <c r="D58" s="7"/>
      <c r="F58" s="8"/>
    </row>
    <row r="59" spans="1:6" x14ac:dyDescent="0.25">
      <c r="A59" s="34" t="s">
        <v>159</v>
      </c>
      <c r="B59" s="19" t="s">
        <v>110</v>
      </c>
      <c r="C59" s="7"/>
      <c r="D59" s="7"/>
      <c r="F59" s="8"/>
    </row>
    <row r="60" spans="1:6" x14ac:dyDescent="0.25">
      <c r="A60" s="34" t="s">
        <v>160</v>
      </c>
      <c r="B60" s="19" t="s">
        <v>111</v>
      </c>
      <c r="C60" s="7"/>
      <c r="D60" s="7"/>
      <c r="F60" s="8"/>
    </row>
    <row r="61" spans="1:6" x14ac:dyDescent="0.25">
      <c r="A61" s="34" t="s">
        <v>161</v>
      </c>
      <c r="B61" s="19" t="s">
        <v>112</v>
      </c>
      <c r="C61" s="7"/>
      <c r="D61" s="7"/>
      <c r="F61" s="8"/>
    </row>
    <row r="62" spans="1:6" x14ac:dyDescent="0.25">
      <c r="A62" s="34" t="s">
        <v>162</v>
      </c>
      <c r="B62" s="19" t="s">
        <v>113</v>
      </c>
      <c r="C62" s="7"/>
      <c r="D62" s="7"/>
      <c r="F62" s="8"/>
    </row>
    <row r="63" spans="1:6" x14ac:dyDescent="0.25">
      <c r="A63" s="34" t="s">
        <v>163</v>
      </c>
      <c r="B63" s="19" t="s">
        <v>114</v>
      </c>
      <c r="C63" s="7"/>
      <c r="D63" s="7"/>
      <c r="F63" s="8"/>
    </row>
    <row r="64" spans="1:6" x14ac:dyDescent="0.25">
      <c r="A64" s="20">
        <v>1260</v>
      </c>
      <c r="B64" s="30" t="s">
        <v>134</v>
      </c>
      <c r="C64" s="7"/>
      <c r="D64" s="7"/>
      <c r="F64" s="8"/>
    </row>
    <row r="65" spans="1:6" x14ac:dyDescent="0.25">
      <c r="A65" s="20">
        <v>1270</v>
      </c>
      <c r="B65" s="30" t="s">
        <v>135</v>
      </c>
      <c r="C65" s="7"/>
      <c r="D65" s="7"/>
      <c r="F65" s="8"/>
    </row>
    <row r="66" spans="1:6" ht="27" x14ac:dyDescent="0.25">
      <c r="A66" s="20">
        <v>1280</v>
      </c>
      <c r="B66" s="30" t="s">
        <v>136</v>
      </c>
      <c r="C66" s="7"/>
      <c r="D66" s="7"/>
      <c r="F66" s="8"/>
    </row>
    <row r="67" spans="1:6" x14ac:dyDescent="0.25">
      <c r="A67" s="20">
        <v>1290</v>
      </c>
      <c r="B67" s="30" t="s">
        <v>137</v>
      </c>
      <c r="C67" s="7"/>
      <c r="D67" s="7"/>
      <c r="F67" s="8"/>
    </row>
    <row r="68" spans="1:6" x14ac:dyDescent="0.25">
      <c r="A68" s="20"/>
      <c r="B68" s="30"/>
      <c r="C68" s="7"/>
      <c r="D68" s="7"/>
      <c r="F68" s="8"/>
    </row>
    <row r="69" spans="1:6" ht="15.75" x14ac:dyDescent="0.3">
      <c r="A69" s="21">
        <v>1300</v>
      </c>
      <c r="B69" s="22" t="s">
        <v>164</v>
      </c>
      <c r="C69" s="7"/>
      <c r="D69" s="7"/>
      <c r="F69" s="8"/>
    </row>
    <row r="70" spans="1:6" x14ac:dyDescent="0.25">
      <c r="A70" s="34" t="s">
        <v>165</v>
      </c>
      <c r="B70" s="19" t="s">
        <v>95</v>
      </c>
      <c r="C70" s="7"/>
      <c r="D70" s="7"/>
      <c r="F70" s="8"/>
    </row>
    <row r="71" spans="1:6" x14ac:dyDescent="0.25">
      <c r="A71" s="32" t="s">
        <v>166</v>
      </c>
      <c r="B71" s="31" t="s">
        <v>128</v>
      </c>
      <c r="C71" s="7"/>
      <c r="D71" s="7"/>
      <c r="F71" s="8"/>
    </row>
    <row r="72" spans="1:6" x14ac:dyDescent="0.25">
      <c r="A72" s="32" t="s">
        <v>167</v>
      </c>
      <c r="B72" s="31" t="s">
        <v>129</v>
      </c>
      <c r="C72" s="7"/>
      <c r="D72" s="7"/>
      <c r="F72" s="8"/>
    </row>
    <row r="73" spans="1:6" x14ac:dyDescent="0.25">
      <c r="A73" s="32" t="s">
        <v>168</v>
      </c>
      <c r="B73" s="31" t="s">
        <v>131</v>
      </c>
      <c r="C73" s="7"/>
      <c r="D73" s="7"/>
      <c r="F73" s="8"/>
    </row>
    <row r="74" spans="1:6" x14ac:dyDescent="0.25">
      <c r="A74" s="34" t="s">
        <v>169</v>
      </c>
      <c r="B74" s="19" t="s">
        <v>107</v>
      </c>
      <c r="C74" s="7"/>
      <c r="D74" s="7"/>
      <c r="F74" s="8"/>
    </row>
    <row r="75" spans="1:6" x14ac:dyDescent="0.25">
      <c r="A75" s="34" t="s">
        <v>189</v>
      </c>
      <c r="B75" s="19" t="s">
        <v>190</v>
      </c>
      <c r="C75" s="7"/>
      <c r="D75" s="7"/>
      <c r="F75" s="8"/>
    </row>
    <row r="76" spans="1:6" x14ac:dyDescent="0.25">
      <c r="A76" s="34" t="s">
        <v>170</v>
      </c>
      <c r="B76" s="19" t="s">
        <v>111</v>
      </c>
      <c r="C76" s="7"/>
      <c r="D76" s="7"/>
      <c r="F76" s="8"/>
    </row>
    <row r="77" spans="1:6" x14ac:dyDescent="0.25">
      <c r="A77" s="34" t="s">
        <v>171</v>
      </c>
      <c r="B77" s="19" t="s">
        <v>112</v>
      </c>
      <c r="C77" s="7"/>
      <c r="D77" s="7"/>
      <c r="F77" s="8"/>
    </row>
    <row r="78" spans="1:6" x14ac:dyDescent="0.25">
      <c r="A78" s="34" t="s">
        <v>172</v>
      </c>
      <c r="B78" s="19" t="s">
        <v>113</v>
      </c>
      <c r="C78" s="7"/>
      <c r="D78" s="7"/>
      <c r="F78" s="8"/>
    </row>
    <row r="79" spans="1:6" x14ac:dyDescent="0.25">
      <c r="A79" s="34" t="s">
        <v>173</v>
      </c>
      <c r="B79" s="19" t="s">
        <v>114</v>
      </c>
      <c r="C79" s="7"/>
      <c r="D79" s="7"/>
      <c r="F79" s="8"/>
    </row>
    <row r="80" spans="1:6" x14ac:dyDescent="0.25">
      <c r="A80" s="34"/>
      <c r="B80" s="19"/>
      <c r="C80" s="7"/>
      <c r="D80" s="7"/>
      <c r="F80" s="8"/>
    </row>
    <row r="81" spans="1:6" ht="12.75" customHeight="1" x14ac:dyDescent="0.3">
      <c r="A81" s="21">
        <v>1400</v>
      </c>
      <c r="B81" s="22" t="s">
        <v>174</v>
      </c>
      <c r="C81" s="7"/>
      <c r="D81" s="7"/>
      <c r="F81" s="8"/>
    </row>
    <row r="82" spans="1:6" ht="12.75" customHeight="1" x14ac:dyDescent="0.25">
      <c r="A82" s="20">
        <v>1410</v>
      </c>
      <c r="B82" s="30" t="s">
        <v>185</v>
      </c>
      <c r="C82" s="7"/>
      <c r="D82" s="7"/>
      <c r="F82" s="8"/>
    </row>
    <row r="83" spans="1:6" x14ac:dyDescent="0.25">
      <c r="A83" s="20">
        <v>1420</v>
      </c>
      <c r="B83" s="30" t="s">
        <v>186</v>
      </c>
      <c r="C83" s="7"/>
      <c r="D83" s="7"/>
      <c r="F83" s="8"/>
    </row>
    <row r="84" spans="1:6" x14ac:dyDescent="0.25">
      <c r="A84" s="20">
        <v>1430</v>
      </c>
      <c r="B84" s="30" t="s">
        <v>187</v>
      </c>
      <c r="C84" s="7"/>
      <c r="D84" s="7"/>
      <c r="F84" s="8"/>
    </row>
    <row r="85" spans="1:6" x14ac:dyDescent="0.25">
      <c r="A85" s="20">
        <v>1440</v>
      </c>
      <c r="B85" s="30" t="s">
        <v>188</v>
      </c>
      <c r="C85" s="7"/>
      <c r="D85" s="7"/>
      <c r="F85" s="8"/>
    </row>
    <row r="86" spans="1:6" x14ac:dyDescent="0.25">
      <c r="B86" s="17"/>
      <c r="C86" s="7"/>
      <c r="D86" s="7"/>
      <c r="F86" s="8"/>
    </row>
    <row r="87" spans="1:6" x14ac:dyDescent="0.25">
      <c r="B87" s="17"/>
      <c r="C87" s="7"/>
      <c r="D87" s="7"/>
      <c r="F87" s="8"/>
    </row>
    <row r="88" spans="1:6" ht="27" x14ac:dyDescent="0.25">
      <c r="A88" s="20">
        <v>1450</v>
      </c>
      <c r="B88" s="30" t="s">
        <v>0</v>
      </c>
      <c r="C88" s="7"/>
      <c r="D88" s="7"/>
      <c r="F88" s="8"/>
    </row>
    <row r="89" spans="1:6" ht="27" x14ac:dyDescent="0.25">
      <c r="A89" s="20">
        <v>1490</v>
      </c>
      <c r="B89" s="30" t="s">
        <v>1</v>
      </c>
      <c r="C89" s="7"/>
      <c r="D89" s="7"/>
      <c r="F89" s="8"/>
    </row>
    <row r="90" spans="1:6" x14ac:dyDescent="0.25">
      <c r="B90" s="17" t="s">
        <v>2</v>
      </c>
      <c r="C90" s="7"/>
      <c r="D90" s="7"/>
      <c r="F90" s="8"/>
    </row>
    <row r="91" spans="1:6" x14ac:dyDescent="0.25">
      <c r="B91" s="17" t="s">
        <v>3</v>
      </c>
      <c r="C91" s="7"/>
      <c r="D91" s="7"/>
      <c r="F91" s="8"/>
    </row>
    <row r="92" spans="1:6" ht="25.5" x14ac:dyDescent="0.25">
      <c r="B92" s="17" t="s">
        <v>4</v>
      </c>
      <c r="C92" s="7"/>
      <c r="D92" s="7"/>
      <c r="F92" s="8"/>
    </row>
    <row r="93" spans="1:6" x14ac:dyDescent="0.25">
      <c r="B93" s="17" t="s">
        <v>5</v>
      </c>
      <c r="C93" s="7"/>
      <c r="D93" s="7"/>
      <c r="F93" s="8"/>
    </row>
    <row r="94" spans="1:6" x14ac:dyDescent="0.25">
      <c r="B94" s="17" t="s">
        <v>6</v>
      </c>
      <c r="C94" s="7"/>
      <c r="D94" s="7"/>
      <c r="F94" s="8"/>
    </row>
    <row r="95" spans="1:6" x14ac:dyDescent="0.25">
      <c r="B95" s="17" t="s">
        <v>7</v>
      </c>
      <c r="C95" s="7"/>
      <c r="D95" s="7"/>
      <c r="F95" s="8"/>
    </row>
    <row r="96" spans="1:6" x14ac:dyDescent="0.25">
      <c r="B96" s="17" t="s">
        <v>8</v>
      </c>
      <c r="C96" s="7"/>
      <c r="D96" s="7"/>
      <c r="F96" s="8"/>
    </row>
    <row r="97" spans="2:6" x14ac:dyDescent="0.25">
      <c r="B97" s="17" t="s">
        <v>9</v>
      </c>
      <c r="C97" s="7"/>
      <c r="D97" s="7"/>
      <c r="F97" s="8"/>
    </row>
    <row r="98" spans="2:6" x14ac:dyDescent="0.25">
      <c r="B98" s="17" t="s">
        <v>10</v>
      </c>
      <c r="C98" s="7"/>
      <c r="D98" s="7"/>
      <c r="F98" s="8"/>
    </row>
    <row r="99" spans="2:6" x14ac:dyDescent="0.25">
      <c r="B99" s="17" t="s">
        <v>11</v>
      </c>
      <c r="C99" s="7"/>
      <c r="D99" s="7"/>
      <c r="F99" s="8"/>
    </row>
    <row r="100" spans="2:6" x14ac:dyDescent="0.25">
      <c r="B100" s="17" t="s">
        <v>12</v>
      </c>
      <c r="C100" s="7"/>
      <c r="D100" s="7"/>
      <c r="F100" s="8"/>
    </row>
    <row r="101" spans="2:6" x14ac:dyDescent="0.25">
      <c r="B101" s="17" t="s">
        <v>13</v>
      </c>
      <c r="C101" s="7"/>
      <c r="D101" s="7"/>
      <c r="F101" s="8"/>
    </row>
    <row r="102" spans="2:6" ht="25.5" x14ac:dyDescent="0.25">
      <c r="B102" s="17" t="s">
        <v>14</v>
      </c>
      <c r="C102" s="7"/>
      <c r="D102" s="7"/>
      <c r="F102" s="8"/>
    </row>
    <row r="103" spans="2:6" ht="25.5" x14ac:dyDescent="0.25">
      <c r="B103" s="17" t="s">
        <v>15</v>
      </c>
      <c r="C103" s="7"/>
      <c r="D103" s="7"/>
      <c r="F103" s="8"/>
    </row>
    <row r="104" spans="2:6" x14ac:dyDescent="0.25">
      <c r="B104" s="17" t="s">
        <v>16</v>
      </c>
      <c r="C104" s="7"/>
      <c r="D104" s="7"/>
      <c r="F104" s="8"/>
    </row>
    <row r="105" spans="2:6" x14ac:dyDescent="0.25">
      <c r="B105" s="17" t="s">
        <v>17</v>
      </c>
      <c r="C105" s="7"/>
      <c r="D105" s="7"/>
      <c r="F105" s="8"/>
    </row>
    <row r="106" spans="2:6" x14ac:dyDescent="0.25">
      <c r="B106" s="17" t="s">
        <v>18</v>
      </c>
      <c r="C106" s="7"/>
      <c r="D106" s="7"/>
      <c r="F106" s="8"/>
    </row>
    <row r="107" spans="2:6" ht="25.5" x14ac:dyDescent="0.25">
      <c r="B107" s="17" t="s">
        <v>19</v>
      </c>
      <c r="C107" s="7"/>
      <c r="D107" s="7"/>
      <c r="F107" s="8"/>
    </row>
    <row r="108" spans="2:6" x14ac:dyDescent="0.25">
      <c r="B108" s="17" t="s">
        <v>20</v>
      </c>
      <c r="C108" s="7"/>
      <c r="D108" s="7"/>
      <c r="F108" s="8"/>
    </row>
    <row r="109" spans="2:6" x14ac:dyDescent="0.25">
      <c r="B109" s="17" t="s">
        <v>21</v>
      </c>
      <c r="C109" s="7"/>
      <c r="D109" s="7"/>
      <c r="F109" s="8"/>
    </row>
    <row r="110" spans="2:6" x14ac:dyDescent="0.25">
      <c r="B110" s="17" t="s">
        <v>22</v>
      </c>
      <c r="C110" s="7"/>
      <c r="D110" s="7"/>
      <c r="F110" s="8"/>
    </row>
    <row r="111" spans="2:6" x14ac:dyDescent="0.25">
      <c r="B111" s="17" t="s">
        <v>23</v>
      </c>
      <c r="C111" s="7"/>
      <c r="D111" s="7"/>
      <c r="F111" s="8"/>
    </row>
    <row r="112" spans="2:6" x14ac:dyDescent="0.25">
      <c r="B112" s="17" t="s">
        <v>24</v>
      </c>
      <c r="C112" s="7"/>
      <c r="D112" s="7"/>
      <c r="F112" s="8"/>
    </row>
    <row r="113" spans="2:6" x14ac:dyDescent="0.25">
      <c r="B113" s="17" t="s">
        <v>25</v>
      </c>
      <c r="C113" s="7"/>
      <c r="D113" s="7"/>
      <c r="F113" s="8"/>
    </row>
    <row r="114" spans="2:6" x14ac:dyDescent="0.25">
      <c r="B114" s="17" t="s">
        <v>26</v>
      </c>
      <c r="C114" s="7"/>
      <c r="D114" s="7"/>
      <c r="F114" s="8"/>
    </row>
    <row r="115" spans="2:6" x14ac:dyDescent="0.25">
      <c r="B115" s="17" t="s">
        <v>27</v>
      </c>
      <c r="C115" s="7"/>
      <c r="D115" s="7"/>
      <c r="F115" s="8"/>
    </row>
    <row r="116" spans="2:6" x14ac:dyDescent="0.25">
      <c r="B116" s="17" t="s">
        <v>28</v>
      </c>
      <c r="C116" s="7"/>
      <c r="D116" s="7"/>
      <c r="F116" s="8"/>
    </row>
    <row r="117" spans="2:6" ht="25.5" x14ac:dyDescent="0.25">
      <c r="B117" s="17" t="s">
        <v>29</v>
      </c>
      <c r="C117" s="7"/>
      <c r="D117" s="7"/>
      <c r="F117" s="8"/>
    </row>
    <row r="118" spans="2:6" ht="25.5" x14ac:dyDescent="0.25">
      <c r="B118" s="17" t="s">
        <v>30</v>
      </c>
      <c r="C118" s="7"/>
      <c r="D118" s="7"/>
      <c r="F118" s="8"/>
    </row>
    <row r="119" spans="2:6" x14ac:dyDescent="0.25">
      <c r="B119" s="17" t="s">
        <v>31</v>
      </c>
    </row>
    <row r="120" spans="2:6" ht="25.5" x14ac:dyDescent="0.25">
      <c r="B120" s="17" t="s">
        <v>32</v>
      </c>
    </row>
    <row r="121" spans="2:6" x14ac:dyDescent="0.25">
      <c r="B121" s="17" t="s">
        <v>33</v>
      </c>
    </row>
    <row r="122" spans="2:6" x14ac:dyDescent="0.25">
      <c r="B122" s="17" t="s">
        <v>34</v>
      </c>
    </row>
    <row r="123" spans="2:6" x14ac:dyDescent="0.25">
      <c r="B123" s="17" t="s">
        <v>35</v>
      </c>
    </row>
    <row r="124" spans="2:6" x14ac:dyDescent="0.25">
      <c r="B124" s="17" t="s">
        <v>36</v>
      </c>
    </row>
    <row r="125" spans="2:6" x14ac:dyDescent="0.25">
      <c r="B125" s="17" t="s">
        <v>37</v>
      </c>
    </row>
    <row r="126" spans="2:6" x14ac:dyDescent="0.25">
      <c r="B126" s="17" t="s">
        <v>38</v>
      </c>
    </row>
    <row r="127" spans="2:6" ht="25.5" x14ac:dyDescent="0.25">
      <c r="B127" s="17" t="s">
        <v>39</v>
      </c>
    </row>
    <row r="128" spans="2:6" x14ac:dyDescent="0.25">
      <c r="B128" s="17" t="s">
        <v>40</v>
      </c>
    </row>
    <row r="129" spans="2:2" x14ac:dyDescent="0.25">
      <c r="B129" s="17" t="s">
        <v>41</v>
      </c>
    </row>
    <row r="130" spans="2:2" x14ac:dyDescent="0.25">
      <c r="B130" s="17" t="s">
        <v>42</v>
      </c>
    </row>
    <row r="131" spans="2:2" x14ac:dyDescent="0.25">
      <c r="B131" s="17" t="s">
        <v>43</v>
      </c>
    </row>
    <row r="132" spans="2:2" ht="25.5" x14ac:dyDescent="0.25">
      <c r="B132" s="17" t="s">
        <v>44</v>
      </c>
    </row>
    <row r="133" spans="2:2" x14ac:dyDescent="0.25">
      <c r="B133" s="17" t="s">
        <v>45</v>
      </c>
    </row>
    <row r="134" spans="2:2" x14ac:dyDescent="0.25">
      <c r="B134" s="17" t="s">
        <v>46</v>
      </c>
    </row>
    <row r="135" spans="2:2" x14ac:dyDescent="0.25">
      <c r="B135" s="17" t="s">
        <v>47</v>
      </c>
    </row>
    <row r="136" spans="2:2" x14ac:dyDescent="0.25">
      <c r="B136" s="17" t="s">
        <v>48</v>
      </c>
    </row>
    <row r="137" spans="2:2" ht="25.5" x14ac:dyDescent="0.25">
      <c r="B137" s="17" t="s">
        <v>49</v>
      </c>
    </row>
    <row r="138" spans="2:2" ht="25.5" x14ac:dyDescent="0.25">
      <c r="B138" s="17" t="s">
        <v>50</v>
      </c>
    </row>
    <row r="139" spans="2:2" x14ac:dyDescent="0.25">
      <c r="B139" s="17" t="s">
        <v>51</v>
      </c>
    </row>
    <row r="140" spans="2:2" ht="25.5" x14ac:dyDescent="0.25">
      <c r="B140" s="17" t="s">
        <v>52</v>
      </c>
    </row>
    <row r="141" spans="2:2" ht="25.5" x14ac:dyDescent="0.25">
      <c r="B141" s="17" t="s">
        <v>53</v>
      </c>
    </row>
    <row r="142" spans="2:2" ht="25.5" x14ac:dyDescent="0.25">
      <c r="B142" s="17" t="s">
        <v>54</v>
      </c>
    </row>
    <row r="143" spans="2:2" ht="25.5" x14ac:dyDescent="0.25">
      <c r="B143" s="17" t="s">
        <v>55</v>
      </c>
    </row>
    <row r="144" spans="2:2" ht="25.5" x14ac:dyDescent="0.25">
      <c r="B144" s="17" t="s">
        <v>56</v>
      </c>
    </row>
    <row r="145" spans="2:2" ht="25.5" x14ac:dyDescent="0.25">
      <c r="B145" s="17" t="s">
        <v>57</v>
      </c>
    </row>
    <row r="146" spans="2:2" x14ac:dyDescent="0.25">
      <c r="B146" s="17" t="s">
        <v>58</v>
      </c>
    </row>
    <row r="147" spans="2:2" ht="25.5" x14ac:dyDescent="0.25">
      <c r="B147" s="17" t="s">
        <v>59</v>
      </c>
    </row>
    <row r="148" spans="2:2" ht="25.5" x14ac:dyDescent="0.25">
      <c r="B148" s="17" t="s">
        <v>60</v>
      </c>
    </row>
    <row r="149" spans="2:2" ht="25.5" x14ac:dyDescent="0.25">
      <c r="B149" s="17" t="s">
        <v>61</v>
      </c>
    </row>
    <row r="150" spans="2:2" x14ac:dyDescent="0.25">
      <c r="B150" s="17" t="s">
        <v>62</v>
      </c>
    </row>
    <row r="151" spans="2:2" x14ac:dyDescent="0.25">
      <c r="B151" s="17" t="s">
        <v>63</v>
      </c>
    </row>
    <row r="152" spans="2:2" x14ac:dyDescent="0.25">
      <c r="B152" s="17" t="s">
        <v>64</v>
      </c>
    </row>
    <row r="153" spans="2:2" x14ac:dyDescent="0.25">
      <c r="B153" s="17" t="s">
        <v>65</v>
      </c>
    </row>
    <row r="154" spans="2:2" ht="25.5" x14ac:dyDescent="0.25">
      <c r="B154" s="17" t="s">
        <v>66</v>
      </c>
    </row>
    <row r="155" spans="2:2" x14ac:dyDescent="0.25">
      <c r="B155" s="17" t="s">
        <v>67</v>
      </c>
    </row>
    <row r="156" spans="2:2" x14ac:dyDescent="0.25">
      <c r="B156" s="17" t="s">
        <v>68</v>
      </c>
    </row>
    <row r="157" spans="2:2" x14ac:dyDescent="0.25">
      <c r="B157" s="17" t="s">
        <v>69</v>
      </c>
    </row>
    <row r="158" spans="2:2" x14ac:dyDescent="0.25">
      <c r="B158" s="17" t="s">
        <v>70</v>
      </c>
    </row>
    <row r="159" spans="2:2" x14ac:dyDescent="0.25">
      <c r="B159" s="17" t="s">
        <v>71</v>
      </c>
    </row>
    <row r="160" spans="2:2" x14ac:dyDescent="0.25">
      <c r="B160" s="17" t="s">
        <v>72</v>
      </c>
    </row>
    <row r="161" spans="2:2" x14ac:dyDescent="0.25">
      <c r="B161" s="17" t="s">
        <v>73</v>
      </c>
    </row>
    <row r="162" spans="2:2" x14ac:dyDescent="0.25">
      <c r="B162" s="17" t="s">
        <v>74</v>
      </c>
    </row>
    <row r="163" spans="2:2" x14ac:dyDescent="0.25">
      <c r="B163" s="17" t="s">
        <v>75</v>
      </c>
    </row>
    <row r="164" spans="2:2" x14ac:dyDescent="0.25">
      <c r="B164" s="17" t="s">
        <v>76</v>
      </c>
    </row>
  </sheetData>
  <customSheetViews>
    <customSheetView guid="{B4B2789E-A92B-47A1-806A-E79E8613D3F5}" state="hidden">
      <selection activeCell="E10" sqref="E10"/>
      <pageMargins left="0.7" right="0.7" top="0.75" bottom="0.75" header="0.3" footer="0.3"/>
    </customSheetView>
    <customSheetView guid="{243EEA98-E2F9-4DAE-A7D1-6A008E515787}" state="hidden">
      <selection activeCell="E10" sqref="E10"/>
      <pageMargins left="0.7" right="0.7" top="0.75" bottom="0.75" header="0.3" footer="0.3"/>
    </customSheetView>
  </customSheetViews>
  <mergeCells count="1">
    <mergeCell ref="E4:G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'Cost Drivers'!$A$2:$A$70</xm:f>
          </x14:formula1>
          <xm:sqref>C7:D166</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152"/>
  <sheetViews>
    <sheetView workbookViewId="0">
      <selection activeCell="A9" sqref="A9"/>
    </sheetView>
  </sheetViews>
  <sheetFormatPr defaultColWidth="8.7109375" defaultRowHeight="15.75" x14ac:dyDescent="0.25"/>
  <cols>
    <col min="1" max="1" width="14.7109375" bestFit="1" customWidth="1"/>
    <col min="2" max="2" width="28.42578125" style="141" bestFit="1" customWidth="1"/>
    <col min="3" max="3" width="60.28515625" style="138" customWidth="1"/>
  </cols>
  <sheetData>
    <row r="2" spans="1:3" x14ac:dyDescent="0.3">
      <c r="B2" s="142" t="s">
        <v>295</v>
      </c>
      <c r="C2" s="143" t="s">
        <v>296</v>
      </c>
    </row>
    <row r="3" spans="1:3" ht="43.5" x14ac:dyDescent="0.25">
      <c r="A3" s="147" t="s">
        <v>374</v>
      </c>
      <c r="B3" s="144" t="s">
        <v>336</v>
      </c>
      <c r="C3" s="145" t="s">
        <v>339</v>
      </c>
    </row>
    <row r="4" spans="1:3" ht="29.25" x14ac:dyDescent="0.25">
      <c r="A4" s="147" t="s">
        <v>374</v>
      </c>
      <c r="B4" s="144" t="s">
        <v>297</v>
      </c>
      <c r="C4" s="145" t="s">
        <v>340</v>
      </c>
    </row>
    <row r="5" spans="1:3" ht="43.5" x14ac:dyDescent="0.25">
      <c r="A5" s="147" t="s">
        <v>374</v>
      </c>
      <c r="B5" s="144" t="s">
        <v>337</v>
      </c>
      <c r="C5" s="145" t="s">
        <v>338</v>
      </c>
    </row>
    <row r="6" spans="1:3" ht="72" x14ac:dyDescent="0.25">
      <c r="A6" s="147" t="s">
        <v>374</v>
      </c>
      <c r="B6" s="144" t="s">
        <v>341</v>
      </c>
      <c r="C6" s="145" t="s">
        <v>480</v>
      </c>
    </row>
    <row r="7" spans="1:3" ht="43.5" x14ac:dyDescent="0.25">
      <c r="A7" s="147" t="s">
        <v>374</v>
      </c>
      <c r="B7" s="144" t="s">
        <v>342</v>
      </c>
      <c r="C7" s="145" t="s">
        <v>343</v>
      </c>
    </row>
    <row r="8" spans="1:3" ht="43.5" x14ac:dyDescent="0.25">
      <c r="A8" s="147" t="s">
        <v>374</v>
      </c>
      <c r="B8" s="144" t="s">
        <v>344</v>
      </c>
      <c r="C8" s="145" t="s">
        <v>345</v>
      </c>
    </row>
    <row r="9" spans="1:3" ht="43.5" x14ac:dyDescent="0.25">
      <c r="A9" s="147" t="s">
        <v>374</v>
      </c>
      <c r="B9" s="144" t="s">
        <v>346</v>
      </c>
      <c r="C9" s="145" t="s">
        <v>347</v>
      </c>
    </row>
    <row r="10" spans="1:3" ht="57.75" x14ac:dyDescent="0.25">
      <c r="A10" s="147" t="s">
        <v>374</v>
      </c>
      <c r="B10" s="144" t="s">
        <v>348</v>
      </c>
      <c r="C10" s="145" t="s">
        <v>350</v>
      </c>
    </row>
    <row r="11" spans="1:3" ht="86.25" x14ac:dyDescent="0.25">
      <c r="A11" s="147" t="s">
        <v>374</v>
      </c>
      <c r="B11" s="144" t="s">
        <v>349</v>
      </c>
      <c r="C11" s="145" t="s">
        <v>353</v>
      </c>
    </row>
    <row r="12" spans="1:3" ht="86.25" x14ac:dyDescent="0.25">
      <c r="A12" s="147" t="s">
        <v>374</v>
      </c>
      <c r="B12" s="144" t="s">
        <v>351</v>
      </c>
      <c r="C12" s="145" t="s">
        <v>352</v>
      </c>
    </row>
    <row r="13" spans="1:3" ht="57.75" x14ac:dyDescent="0.25">
      <c r="A13" s="147" t="s">
        <v>374</v>
      </c>
      <c r="B13" s="144" t="s">
        <v>354</v>
      </c>
      <c r="C13" s="145" t="s">
        <v>355</v>
      </c>
    </row>
    <row r="14" spans="1:3" ht="100.5" x14ac:dyDescent="0.25">
      <c r="A14" s="147" t="s">
        <v>374</v>
      </c>
      <c r="B14" s="144" t="s">
        <v>370</v>
      </c>
      <c r="C14" s="145" t="s">
        <v>371</v>
      </c>
    </row>
    <row r="15" spans="1:3" ht="100.5" x14ac:dyDescent="0.25">
      <c r="A15" s="147" t="s">
        <v>374</v>
      </c>
      <c r="B15" s="144" t="s">
        <v>372</v>
      </c>
      <c r="C15" s="145" t="s">
        <v>373</v>
      </c>
    </row>
    <row r="16" spans="1:3" ht="86.25" x14ac:dyDescent="0.25">
      <c r="A16" s="147" t="s">
        <v>374</v>
      </c>
      <c r="B16" s="146" t="s">
        <v>426</v>
      </c>
      <c r="C16" s="145" t="s">
        <v>427</v>
      </c>
    </row>
    <row r="17" spans="1:3" ht="100.5" x14ac:dyDescent="0.25">
      <c r="A17" s="147" t="s">
        <v>374</v>
      </c>
      <c r="B17" s="146" t="s">
        <v>375</v>
      </c>
      <c r="C17" s="145" t="s">
        <v>376</v>
      </c>
    </row>
    <row r="18" spans="1:3" ht="86.25" x14ac:dyDescent="0.25">
      <c r="A18" s="147" t="s">
        <v>374</v>
      </c>
      <c r="B18" s="146" t="s">
        <v>377</v>
      </c>
      <c r="C18" s="145" t="s">
        <v>378</v>
      </c>
    </row>
    <row r="19" spans="1:3" x14ac:dyDescent="0.25">
      <c r="C19" s="140"/>
    </row>
    <row r="20" spans="1:3" x14ac:dyDescent="0.25">
      <c r="C20" s="140"/>
    </row>
    <row r="21" spans="1:3" x14ac:dyDescent="0.25">
      <c r="C21" s="140"/>
    </row>
    <row r="22" spans="1:3" x14ac:dyDescent="0.25">
      <c r="C22" s="140"/>
    </row>
    <row r="23" spans="1:3" x14ac:dyDescent="0.25">
      <c r="C23" s="140"/>
    </row>
    <row r="24" spans="1:3" x14ac:dyDescent="0.25">
      <c r="C24" s="140"/>
    </row>
    <row r="25" spans="1:3" x14ac:dyDescent="0.25">
      <c r="C25" s="140"/>
    </row>
    <row r="26" spans="1:3" x14ac:dyDescent="0.25">
      <c r="C26" s="140"/>
    </row>
    <row r="27" spans="1:3" x14ac:dyDescent="0.25">
      <c r="C27" s="140"/>
    </row>
    <row r="28" spans="1:3" x14ac:dyDescent="0.25">
      <c r="C28" s="140"/>
    </row>
    <row r="29" spans="1:3" x14ac:dyDescent="0.25">
      <c r="C29" s="140"/>
    </row>
    <row r="30" spans="1:3" x14ac:dyDescent="0.25">
      <c r="C30" s="140"/>
    </row>
    <row r="31" spans="1:3" x14ac:dyDescent="0.25">
      <c r="C31" s="140"/>
    </row>
    <row r="32" spans="1:3" x14ac:dyDescent="0.25">
      <c r="C32" s="140"/>
    </row>
    <row r="33" spans="3:3" x14ac:dyDescent="0.25">
      <c r="C33" s="140"/>
    </row>
    <row r="34" spans="3:3" x14ac:dyDescent="0.25">
      <c r="C34" s="140"/>
    </row>
    <row r="35" spans="3:3" x14ac:dyDescent="0.25">
      <c r="C35" s="140"/>
    </row>
    <row r="36" spans="3:3" x14ac:dyDescent="0.25">
      <c r="C36" s="140"/>
    </row>
    <row r="37" spans="3:3" x14ac:dyDescent="0.25">
      <c r="C37" s="140"/>
    </row>
    <row r="38" spans="3:3" x14ac:dyDescent="0.25">
      <c r="C38" s="140"/>
    </row>
    <row r="39" spans="3:3" x14ac:dyDescent="0.25">
      <c r="C39" s="140"/>
    </row>
    <row r="40" spans="3:3" x14ac:dyDescent="0.25">
      <c r="C40" s="140"/>
    </row>
    <row r="41" spans="3:3" x14ac:dyDescent="0.25">
      <c r="C41" s="140"/>
    </row>
    <row r="42" spans="3:3" x14ac:dyDescent="0.25">
      <c r="C42" s="140"/>
    </row>
    <row r="43" spans="3:3" x14ac:dyDescent="0.25">
      <c r="C43" s="140"/>
    </row>
    <row r="44" spans="3:3" x14ac:dyDescent="0.25">
      <c r="C44" s="140"/>
    </row>
    <row r="45" spans="3:3" x14ac:dyDescent="0.25">
      <c r="C45" s="140"/>
    </row>
    <row r="46" spans="3:3" x14ac:dyDescent="0.25">
      <c r="C46" s="140"/>
    </row>
    <row r="47" spans="3:3" x14ac:dyDescent="0.25">
      <c r="C47" s="140"/>
    </row>
    <row r="48" spans="3:3" x14ac:dyDescent="0.25">
      <c r="C48" s="140"/>
    </row>
    <row r="49" spans="3:3" x14ac:dyDescent="0.25">
      <c r="C49" s="140"/>
    </row>
    <row r="50" spans="3:3" x14ac:dyDescent="0.25">
      <c r="C50" s="140"/>
    </row>
    <row r="51" spans="3:3" x14ac:dyDescent="0.25">
      <c r="C51" s="140"/>
    </row>
    <row r="52" spans="3:3" x14ac:dyDescent="0.25">
      <c r="C52" s="140"/>
    </row>
    <row r="53" spans="3:3" x14ac:dyDescent="0.25">
      <c r="C53" s="140"/>
    </row>
    <row r="54" spans="3:3" x14ac:dyDescent="0.25">
      <c r="C54" s="140"/>
    </row>
    <row r="55" spans="3:3" x14ac:dyDescent="0.25">
      <c r="C55" s="140"/>
    </row>
    <row r="56" spans="3:3" x14ac:dyDescent="0.25">
      <c r="C56" s="140"/>
    </row>
    <row r="57" spans="3:3" x14ac:dyDescent="0.25">
      <c r="C57" s="140"/>
    </row>
    <row r="58" spans="3:3" x14ac:dyDescent="0.25">
      <c r="C58" s="140"/>
    </row>
    <row r="59" spans="3:3" x14ac:dyDescent="0.25">
      <c r="C59" s="140"/>
    </row>
    <row r="60" spans="3:3" x14ac:dyDescent="0.25">
      <c r="C60" s="140"/>
    </row>
    <row r="61" spans="3:3" x14ac:dyDescent="0.25">
      <c r="C61" s="140"/>
    </row>
    <row r="62" spans="3:3" x14ac:dyDescent="0.25">
      <c r="C62" s="140"/>
    </row>
    <row r="63" spans="3:3" x14ac:dyDescent="0.25">
      <c r="C63" s="140"/>
    </row>
    <row r="64" spans="3:3" x14ac:dyDescent="0.25">
      <c r="C64" s="140"/>
    </row>
    <row r="65" spans="3:3" x14ac:dyDescent="0.25">
      <c r="C65" s="140"/>
    </row>
    <row r="66" spans="3:3" x14ac:dyDescent="0.25">
      <c r="C66" s="140"/>
    </row>
    <row r="67" spans="3:3" x14ac:dyDescent="0.25">
      <c r="C67" s="140"/>
    </row>
    <row r="68" spans="3:3" x14ac:dyDescent="0.25">
      <c r="C68" s="140"/>
    </row>
    <row r="69" spans="3:3" x14ac:dyDescent="0.25">
      <c r="C69" s="140"/>
    </row>
    <row r="70" spans="3:3" x14ac:dyDescent="0.25">
      <c r="C70" s="140"/>
    </row>
    <row r="71" spans="3:3" x14ac:dyDescent="0.25">
      <c r="C71" s="140"/>
    </row>
    <row r="72" spans="3:3" x14ac:dyDescent="0.25">
      <c r="C72" s="140"/>
    </row>
    <row r="73" spans="3:3" x14ac:dyDescent="0.25">
      <c r="C73" s="140"/>
    </row>
    <row r="74" spans="3:3" x14ac:dyDescent="0.25">
      <c r="C74" s="140"/>
    </row>
    <row r="75" spans="3:3" x14ac:dyDescent="0.25">
      <c r="C75" s="140"/>
    </row>
    <row r="76" spans="3:3" x14ac:dyDescent="0.25">
      <c r="C76" s="140"/>
    </row>
    <row r="77" spans="3:3" x14ac:dyDescent="0.25">
      <c r="C77" s="140"/>
    </row>
    <row r="78" spans="3:3" x14ac:dyDescent="0.25">
      <c r="C78" s="140"/>
    </row>
    <row r="79" spans="3:3" x14ac:dyDescent="0.25">
      <c r="C79" s="140"/>
    </row>
    <row r="80" spans="3:3" x14ac:dyDescent="0.25">
      <c r="C80" s="140"/>
    </row>
    <row r="81" spans="3:3" x14ac:dyDescent="0.25">
      <c r="C81" s="140"/>
    </row>
    <row r="82" spans="3:3" x14ac:dyDescent="0.25">
      <c r="C82" s="140"/>
    </row>
    <row r="83" spans="3:3" x14ac:dyDescent="0.25">
      <c r="C83" s="140"/>
    </row>
    <row r="84" spans="3:3" x14ac:dyDescent="0.25">
      <c r="C84" s="140"/>
    </row>
    <row r="85" spans="3:3" x14ac:dyDescent="0.25">
      <c r="C85" s="140"/>
    </row>
    <row r="86" spans="3:3" x14ac:dyDescent="0.25">
      <c r="C86" s="140"/>
    </row>
    <row r="87" spans="3:3" x14ac:dyDescent="0.25">
      <c r="C87" s="140"/>
    </row>
    <row r="88" spans="3:3" x14ac:dyDescent="0.25">
      <c r="C88" s="140"/>
    </row>
    <row r="89" spans="3:3" x14ac:dyDescent="0.25">
      <c r="C89" s="140"/>
    </row>
    <row r="90" spans="3:3" x14ac:dyDescent="0.25">
      <c r="C90" s="140"/>
    </row>
    <row r="91" spans="3:3" x14ac:dyDescent="0.25">
      <c r="C91" s="140"/>
    </row>
    <row r="92" spans="3:3" x14ac:dyDescent="0.25">
      <c r="C92" s="140"/>
    </row>
    <row r="93" spans="3:3" x14ac:dyDescent="0.25">
      <c r="C93" s="140"/>
    </row>
    <row r="94" spans="3:3" x14ac:dyDescent="0.25">
      <c r="C94" s="140"/>
    </row>
    <row r="95" spans="3:3" x14ac:dyDescent="0.25">
      <c r="C95" s="140"/>
    </row>
    <row r="96" spans="3:3" x14ac:dyDescent="0.25">
      <c r="C96" s="140"/>
    </row>
    <row r="97" spans="3:3" x14ac:dyDescent="0.25">
      <c r="C97" s="140"/>
    </row>
    <row r="98" spans="3:3" x14ac:dyDescent="0.25">
      <c r="C98" s="140"/>
    </row>
    <row r="99" spans="3:3" x14ac:dyDescent="0.25">
      <c r="C99" s="140"/>
    </row>
    <row r="100" spans="3:3" x14ac:dyDescent="0.25">
      <c r="C100" s="140"/>
    </row>
    <row r="101" spans="3:3" x14ac:dyDescent="0.25">
      <c r="C101" s="140"/>
    </row>
    <row r="102" spans="3:3" x14ac:dyDescent="0.25">
      <c r="C102" s="140"/>
    </row>
    <row r="103" spans="3:3" x14ac:dyDescent="0.25">
      <c r="C103" s="140"/>
    </row>
    <row r="104" spans="3:3" x14ac:dyDescent="0.25">
      <c r="C104" s="140"/>
    </row>
    <row r="105" spans="3:3" x14ac:dyDescent="0.25">
      <c r="C105" s="140"/>
    </row>
    <row r="106" spans="3:3" x14ac:dyDescent="0.25">
      <c r="C106" s="140"/>
    </row>
    <row r="107" spans="3:3" x14ac:dyDescent="0.25">
      <c r="C107" s="140"/>
    </row>
    <row r="108" spans="3:3" x14ac:dyDescent="0.25">
      <c r="C108" s="140"/>
    </row>
    <row r="109" spans="3:3" x14ac:dyDescent="0.25">
      <c r="C109" s="140"/>
    </row>
    <row r="110" spans="3:3" x14ac:dyDescent="0.25">
      <c r="C110" s="140"/>
    </row>
    <row r="111" spans="3:3" x14ac:dyDescent="0.25">
      <c r="C111" s="140"/>
    </row>
    <row r="112" spans="3:3" x14ac:dyDescent="0.25">
      <c r="C112" s="140"/>
    </row>
    <row r="113" spans="3:3" x14ac:dyDescent="0.25">
      <c r="C113" s="140"/>
    </row>
    <row r="114" spans="3:3" x14ac:dyDescent="0.25">
      <c r="C114" s="140"/>
    </row>
    <row r="115" spans="3:3" x14ac:dyDescent="0.25">
      <c r="C115" s="140"/>
    </row>
    <row r="116" spans="3:3" x14ac:dyDescent="0.25">
      <c r="C116" s="140"/>
    </row>
    <row r="117" spans="3:3" x14ac:dyDescent="0.25">
      <c r="C117" s="140"/>
    </row>
    <row r="118" spans="3:3" x14ac:dyDescent="0.25">
      <c r="C118" s="140"/>
    </row>
    <row r="119" spans="3:3" x14ac:dyDescent="0.25">
      <c r="C119" s="140"/>
    </row>
    <row r="120" spans="3:3" x14ac:dyDescent="0.25">
      <c r="C120" s="140"/>
    </row>
    <row r="121" spans="3:3" x14ac:dyDescent="0.25">
      <c r="C121" s="140"/>
    </row>
    <row r="122" spans="3:3" x14ac:dyDescent="0.25">
      <c r="C122" s="140"/>
    </row>
    <row r="123" spans="3:3" x14ac:dyDescent="0.25">
      <c r="C123" s="140"/>
    </row>
    <row r="124" spans="3:3" x14ac:dyDescent="0.25">
      <c r="C124" s="140"/>
    </row>
    <row r="125" spans="3:3" x14ac:dyDescent="0.25">
      <c r="C125" s="140"/>
    </row>
    <row r="126" spans="3:3" x14ac:dyDescent="0.25">
      <c r="C126" s="140"/>
    </row>
    <row r="127" spans="3:3" x14ac:dyDescent="0.25">
      <c r="C127" s="140"/>
    </row>
    <row r="128" spans="3:3" x14ac:dyDescent="0.25">
      <c r="C128" s="140"/>
    </row>
    <row r="129" spans="3:3" x14ac:dyDescent="0.25">
      <c r="C129" s="140"/>
    </row>
    <row r="130" spans="3:3" x14ac:dyDescent="0.25">
      <c r="C130" s="140"/>
    </row>
    <row r="131" spans="3:3" x14ac:dyDescent="0.25">
      <c r="C131" s="140"/>
    </row>
    <row r="132" spans="3:3" x14ac:dyDescent="0.25">
      <c r="C132" s="140"/>
    </row>
    <row r="133" spans="3:3" x14ac:dyDescent="0.25">
      <c r="C133" s="140"/>
    </row>
    <row r="134" spans="3:3" x14ac:dyDescent="0.25">
      <c r="C134" s="140"/>
    </row>
    <row r="135" spans="3:3" x14ac:dyDescent="0.25">
      <c r="C135" s="140"/>
    </row>
    <row r="136" spans="3:3" x14ac:dyDescent="0.25">
      <c r="C136" s="140"/>
    </row>
    <row r="137" spans="3:3" x14ac:dyDescent="0.25">
      <c r="C137" s="140"/>
    </row>
    <row r="138" spans="3:3" x14ac:dyDescent="0.25">
      <c r="C138" s="140"/>
    </row>
    <row r="139" spans="3:3" x14ac:dyDescent="0.25">
      <c r="C139" s="140"/>
    </row>
    <row r="140" spans="3:3" x14ac:dyDescent="0.25">
      <c r="C140" s="140"/>
    </row>
    <row r="141" spans="3:3" x14ac:dyDescent="0.25">
      <c r="C141" s="140"/>
    </row>
    <row r="142" spans="3:3" x14ac:dyDescent="0.25">
      <c r="C142" s="140"/>
    </row>
    <row r="143" spans="3:3" x14ac:dyDescent="0.25">
      <c r="C143" s="140"/>
    </row>
    <row r="144" spans="3:3" x14ac:dyDescent="0.25">
      <c r="C144" s="140"/>
    </row>
    <row r="145" spans="3:3" x14ac:dyDescent="0.25">
      <c r="C145" s="140"/>
    </row>
    <row r="146" spans="3:3" x14ac:dyDescent="0.25">
      <c r="C146" s="140"/>
    </row>
    <row r="147" spans="3:3" x14ac:dyDescent="0.25">
      <c r="C147" s="140"/>
    </row>
    <row r="148" spans="3:3" x14ac:dyDescent="0.25">
      <c r="C148" s="140"/>
    </row>
    <row r="149" spans="3:3" x14ac:dyDescent="0.25">
      <c r="C149" s="140"/>
    </row>
    <row r="150" spans="3:3" x14ac:dyDescent="0.25">
      <c r="C150" s="140"/>
    </row>
    <row r="151" spans="3:3" x14ac:dyDescent="0.25">
      <c r="C151" s="140"/>
    </row>
    <row r="152" spans="3:3" x14ac:dyDescent="0.25">
      <c r="C152" s="140"/>
    </row>
  </sheetData>
  <customSheetViews>
    <customSheetView guid="{B4B2789E-A92B-47A1-806A-E79E8613D3F5}">
      <pageMargins left="0.7" right="0.7" top="0.75" bottom="0.75" header="0.3" footer="0.3"/>
    </customSheetView>
    <customSheetView guid="{243EEA98-E2F9-4DAE-A7D1-6A008E515787}">
      <pageMargins left="0.7" right="0.7" top="0.75" bottom="0.75" header="0.3" footer="0.3"/>
    </customSheetView>
  </customSheetViews>
  <hyperlinks>
    <hyperlink ref="A18" location="Expenditure!A14" display="Back to Sheet"/>
    <hyperlink ref="A17" location="Expenditure!A13" display="Back to Sheet"/>
    <hyperlink ref="A14:A15" location="Expenditure!A13" display="Back to Sheet"/>
    <hyperlink ref="A15" location="Expenditure!M4" display="Back to Sheet"/>
    <hyperlink ref="A14" location="Expenditure!M3" display="Back to Sheet"/>
    <hyperlink ref="A13" location="'Enrollment &amp; Staffing'!B63" display="Back to Sheet"/>
    <hyperlink ref="A3:A12" location="'Enrollment &amp; Staffing'!B63" display="Back to Sheet"/>
    <hyperlink ref="A12" location="'Enrollment &amp; Staffing'!B50" display="Back to Sheet"/>
    <hyperlink ref="A11" location="'Enrollment &amp; Staffing'!B47" display="Back to Sheet"/>
    <hyperlink ref="A10" location="'Enrollment &amp; Staffing'!B46" display="Back to Sheet"/>
    <hyperlink ref="A9" location="'Enrollment &amp; Staffing'!B36" display="Back to Sheet"/>
    <hyperlink ref="A8" location="'Enrollment &amp; Staffing'!B21" display="Back to Sheet"/>
    <hyperlink ref="A7" location="'Enrollment &amp; Staffing'!E20" display="Back to Sheet"/>
    <hyperlink ref="A6" location="'Enrollment &amp; Staffing'!B16" display="Back to Sheet"/>
    <hyperlink ref="A5" location="'Enrollment &amp; Staffing'!B14" display="Back to Sheet"/>
    <hyperlink ref="A4" location="'Enrollment &amp; Staffing'!B8" display="Back to Sheet"/>
    <hyperlink ref="A3" location="'Enrollment &amp; Staffing'!B6" display="Back to Sheet"/>
    <hyperlink ref="A16" location="Expenditure!L7" display="Back to Sheet"/>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F42"/>
  <sheetViews>
    <sheetView workbookViewId="0">
      <selection activeCell="D16" sqref="D16:E16"/>
    </sheetView>
  </sheetViews>
  <sheetFormatPr defaultColWidth="8.7109375" defaultRowHeight="24.75" customHeight="1" x14ac:dyDescent="0.25"/>
  <cols>
    <col min="3" max="3" width="1.28515625" customWidth="1"/>
    <col min="4" max="4" width="16.42578125" customWidth="1"/>
    <col min="5" max="5" width="67" customWidth="1"/>
  </cols>
  <sheetData>
    <row r="1" spans="2:6" ht="24.75" customHeight="1" thickBot="1" x14ac:dyDescent="0.3"/>
    <row r="2" spans="2:6" ht="15.75" x14ac:dyDescent="0.3">
      <c r="B2" s="51"/>
      <c r="C2" s="39"/>
      <c r="D2" s="40"/>
      <c r="E2" s="40"/>
      <c r="F2" s="41"/>
    </row>
    <row r="3" spans="2:6" ht="15.75" x14ac:dyDescent="0.3">
      <c r="B3" s="49"/>
      <c r="C3" s="42"/>
      <c r="D3" s="55"/>
      <c r="E3" s="55" t="s">
        <v>423</v>
      </c>
      <c r="F3" s="44"/>
    </row>
    <row r="4" spans="2:6" ht="24.75" customHeight="1" x14ac:dyDescent="0.45">
      <c r="B4" s="552" t="s">
        <v>356</v>
      </c>
      <c r="C4" s="553"/>
      <c r="D4" s="553"/>
      <c r="E4" s="553"/>
      <c r="F4" s="554"/>
    </row>
    <row r="5" spans="2:6" ht="15.75" x14ac:dyDescent="0.3">
      <c r="B5" s="49"/>
      <c r="C5" s="42"/>
      <c r="D5" s="57"/>
      <c r="E5" s="57"/>
      <c r="F5" s="44"/>
    </row>
    <row r="6" spans="2:6" ht="24.75" customHeight="1" x14ac:dyDescent="0.3">
      <c r="B6" s="49"/>
      <c r="C6" s="42"/>
      <c r="D6" s="555" t="s">
        <v>357</v>
      </c>
      <c r="E6" s="555"/>
      <c r="F6" s="44"/>
    </row>
    <row r="7" spans="2:6" ht="24.75" customHeight="1" x14ac:dyDescent="0.3">
      <c r="B7" s="49"/>
      <c r="C7" s="42"/>
      <c r="D7" s="556" t="s">
        <v>358</v>
      </c>
      <c r="E7" s="557"/>
      <c r="F7" s="44"/>
    </row>
    <row r="8" spans="2:6" ht="24.75" customHeight="1" x14ac:dyDescent="0.3">
      <c r="B8" s="49"/>
      <c r="C8" s="42"/>
      <c r="D8" s="558" t="s">
        <v>362</v>
      </c>
      <c r="E8" s="559"/>
      <c r="F8" s="44"/>
    </row>
    <row r="9" spans="2:6" ht="27.75" customHeight="1" x14ac:dyDescent="0.3">
      <c r="B9" s="49"/>
      <c r="C9" s="42"/>
      <c r="D9" s="558" t="s">
        <v>359</v>
      </c>
      <c r="E9" s="559"/>
      <c r="F9" s="44"/>
    </row>
    <row r="10" spans="2:6" ht="17.25" customHeight="1" x14ac:dyDescent="0.3">
      <c r="B10" s="49"/>
      <c r="C10" s="42"/>
      <c r="D10" s="560"/>
      <c r="E10" s="561"/>
      <c r="F10" s="44"/>
    </row>
    <row r="11" spans="2:6" ht="15.75" x14ac:dyDescent="0.3">
      <c r="B11" s="49"/>
      <c r="C11" s="42"/>
      <c r="D11" s="562"/>
      <c r="E11" s="562"/>
      <c r="F11" s="44"/>
    </row>
    <row r="12" spans="2:6" ht="15.75" x14ac:dyDescent="0.3">
      <c r="B12" s="49"/>
      <c r="C12" s="42"/>
      <c r="D12" s="563"/>
      <c r="E12" s="563"/>
      <c r="F12" s="44"/>
    </row>
    <row r="13" spans="2:6" ht="15.75" x14ac:dyDescent="0.3">
      <c r="B13" s="53" t="s">
        <v>360</v>
      </c>
      <c r="C13" s="54"/>
      <c r="D13" s="603" t="s">
        <v>361</v>
      </c>
      <c r="E13" s="603"/>
      <c r="F13" s="44"/>
    </row>
    <row r="14" spans="2:6" ht="24.75" customHeight="1" x14ac:dyDescent="0.3">
      <c r="B14" s="49"/>
      <c r="C14" s="42"/>
      <c r="D14" s="565"/>
      <c r="E14" s="565"/>
      <c r="F14" s="44"/>
    </row>
    <row r="15" spans="2:6" ht="24.75" customHeight="1" x14ac:dyDescent="0.3">
      <c r="B15" s="49"/>
      <c r="C15" s="42"/>
      <c r="D15" s="565"/>
      <c r="E15" s="565"/>
      <c r="F15" s="44"/>
    </row>
    <row r="16" spans="2:6" ht="24.75" customHeight="1" x14ac:dyDescent="0.3">
      <c r="B16" s="49"/>
      <c r="C16" s="42"/>
      <c r="D16" s="566"/>
      <c r="E16" s="566"/>
      <c r="F16" s="44"/>
    </row>
    <row r="17" spans="2:6" ht="24.75" customHeight="1" x14ac:dyDescent="0.3">
      <c r="B17" s="49"/>
      <c r="C17" s="42"/>
      <c r="D17" s="566"/>
      <c r="E17" s="566"/>
      <c r="F17" s="44"/>
    </row>
    <row r="18" spans="2:6" ht="15.75" x14ac:dyDescent="0.3">
      <c r="B18" s="53" t="s">
        <v>363</v>
      </c>
      <c r="C18" s="54"/>
      <c r="D18" s="603" t="s">
        <v>364</v>
      </c>
      <c r="E18" s="603"/>
      <c r="F18" s="44"/>
    </row>
    <row r="19" spans="2:6" ht="24.75" customHeight="1" x14ac:dyDescent="0.3">
      <c r="B19" s="49"/>
      <c r="C19" s="42"/>
      <c r="D19" s="565"/>
      <c r="E19" s="565"/>
      <c r="F19" s="44"/>
    </row>
    <row r="20" spans="2:6" ht="24.75" customHeight="1" x14ac:dyDescent="0.3">
      <c r="B20" s="49"/>
      <c r="C20" s="42"/>
      <c r="D20" s="565"/>
      <c r="E20" s="565"/>
      <c r="F20" s="44"/>
    </row>
    <row r="21" spans="2:6" ht="24.75" customHeight="1" x14ac:dyDescent="0.3">
      <c r="B21" s="53"/>
      <c r="C21" s="54"/>
      <c r="D21" s="567"/>
      <c r="E21" s="567"/>
      <c r="F21" s="44"/>
    </row>
    <row r="22" spans="2:6" ht="24.75" customHeight="1" x14ac:dyDescent="0.3">
      <c r="B22" s="49"/>
      <c r="C22" s="42"/>
      <c r="D22" s="565"/>
      <c r="E22" s="565"/>
      <c r="F22" s="44"/>
    </row>
    <row r="23" spans="2:6" ht="15.75" x14ac:dyDescent="0.3">
      <c r="B23" s="53" t="s">
        <v>365</v>
      </c>
      <c r="C23" s="54"/>
      <c r="D23" s="603" t="s">
        <v>366</v>
      </c>
      <c r="E23" s="603"/>
      <c r="F23" s="44"/>
    </row>
    <row r="24" spans="2:6" ht="24.75" customHeight="1" x14ac:dyDescent="0.3">
      <c r="B24" s="53"/>
      <c r="C24" s="54"/>
      <c r="D24" s="567"/>
      <c r="E24" s="567"/>
      <c r="F24" s="44"/>
    </row>
    <row r="25" spans="2:6" ht="24.75" customHeight="1" x14ac:dyDescent="0.3">
      <c r="B25" s="49"/>
      <c r="C25" s="42"/>
      <c r="D25" s="565"/>
      <c r="E25" s="565"/>
      <c r="F25" s="44"/>
    </row>
    <row r="26" spans="2:6" ht="24.75" customHeight="1" x14ac:dyDescent="0.3">
      <c r="B26" s="49"/>
      <c r="C26" s="42"/>
      <c r="D26" s="565"/>
      <c r="E26" s="565"/>
      <c r="F26" s="44"/>
    </row>
    <row r="27" spans="2:6" ht="24.75" customHeight="1" x14ac:dyDescent="0.3">
      <c r="B27" s="53"/>
      <c r="C27" s="54"/>
      <c r="D27" s="602"/>
      <c r="E27" s="602"/>
      <c r="F27" s="44"/>
    </row>
    <row r="28" spans="2:6" ht="24.75" customHeight="1" x14ac:dyDescent="0.3">
      <c r="B28" s="49"/>
      <c r="C28" s="42"/>
      <c r="D28" s="565"/>
      <c r="E28" s="565"/>
      <c r="F28" s="44"/>
    </row>
    <row r="29" spans="2:6" ht="24.75" customHeight="1" x14ac:dyDescent="0.3">
      <c r="B29" s="49"/>
      <c r="C29" s="42"/>
      <c r="D29" s="565"/>
      <c r="E29" s="565"/>
      <c r="F29" s="44"/>
    </row>
    <row r="30" spans="2:6" ht="24.75" customHeight="1" x14ac:dyDescent="0.3">
      <c r="B30" s="49"/>
      <c r="C30" s="42"/>
      <c r="D30" s="565"/>
      <c r="E30" s="565"/>
      <c r="F30" s="44"/>
    </row>
    <row r="31" spans="2:6" ht="24.75" customHeight="1" x14ac:dyDescent="0.3">
      <c r="B31" s="49"/>
      <c r="C31" s="42"/>
      <c r="D31" s="565"/>
      <c r="E31" s="565"/>
      <c r="F31" s="44"/>
    </row>
    <row r="32" spans="2:6" ht="24.75" customHeight="1" x14ac:dyDescent="0.3">
      <c r="B32" s="49"/>
      <c r="C32" s="42"/>
      <c r="D32" s="565"/>
      <c r="E32" s="565"/>
      <c r="F32" s="44"/>
    </row>
    <row r="33" spans="2:6" ht="24.75" customHeight="1" x14ac:dyDescent="0.3">
      <c r="B33" s="49"/>
      <c r="C33" s="42"/>
      <c r="D33" s="565"/>
      <c r="E33" s="565"/>
      <c r="F33" s="44"/>
    </row>
    <row r="34" spans="2:6" ht="24.75" customHeight="1" x14ac:dyDescent="0.3">
      <c r="B34" s="49"/>
      <c r="C34" s="42"/>
      <c r="D34" s="565"/>
      <c r="E34" s="565"/>
      <c r="F34" s="44"/>
    </row>
    <row r="35" spans="2:6" ht="24.75" customHeight="1" x14ac:dyDescent="0.3">
      <c r="B35" s="49"/>
      <c r="C35" s="42"/>
      <c r="D35" s="565"/>
      <c r="E35" s="565"/>
      <c r="F35" s="44"/>
    </row>
    <row r="36" spans="2:6" ht="24.75" customHeight="1" x14ac:dyDescent="0.3">
      <c r="B36" s="49"/>
      <c r="C36" s="42"/>
      <c r="D36" s="565"/>
      <c r="E36" s="565"/>
      <c r="F36" s="44"/>
    </row>
    <row r="37" spans="2:6" ht="24.75" customHeight="1" x14ac:dyDescent="0.3">
      <c r="B37" s="49"/>
      <c r="C37" s="42"/>
      <c r="D37" s="565"/>
      <c r="E37" s="565"/>
      <c r="F37" s="44"/>
    </row>
    <row r="38" spans="2:6" ht="24.75" customHeight="1" x14ac:dyDescent="0.3">
      <c r="B38" s="49"/>
      <c r="C38" s="42"/>
      <c r="D38" s="565"/>
      <c r="E38" s="565"/>
      <c r="F38" s="44"/>
    </row>
    <row r="39" spans="2:6" ht="24.75" customHeight="1" x14ac:dyDescent="0.3">
      <c r="B39" s="49"/>
      <c r="C39" s="42"/>
      <c r="D39" s="565"/>
      <c r="E39" s="565"/>
      <c r="F39" s="44"/>
    </row>
    <row r="40" spans="2:6" ht="24.75" customHeight="1" x14ac:dyDescent="0.3">
      <c r="B40" s="49"/>
      <c r="C40" s="42"/>
      <c r="D40" s="565"/>
      <c r="E40" s="565"/>
      <c r="F40" s="44"/>
    </row>
    <row r="41" spans="2:6" ht="24.75" customHeight="1" x14ac:dyDescent="0.3">
      <c r="B41" s="49"/>
      <c r="C41" s="42"/>
      <c r="D41" s="56"/>
      <c r="E41" s="56"/>
      <c r="F41" s="44"/>
    </row>
    <row r="42" spans="2:6" ht="24.75" customHeight="1" thickBot="1" x14ac:dyDescent="0.35">
      <c r="B42" s="52"/>
      <c r="C42" s="45"/>
      <c r="D42" s="48"/>
      <c r="E42" s="48"/>
      <c r="F42" s="46"/>
    </row>
  </sheetData>
  <mergeCells count="36">
    <mergeCell ref="D36:E36"/>
    <mergeCell ref="D37:E37"/>
    <mergeCell ref="D38:E38"/>
    <mergeCell ref="D39:E39"/>
    <mergeCell ref="D40:E40"/>
    <mergeCell ref="D23:E23"/>
    <mergeCell ref="D12:E12"/>
    <mergeCell ref="D13:E13"/>
    <mergeCell ref="D14:E14"/>
    <mergeCell ref="D15:E15"/>
    <mergeCell ref="D16:E16"/>
    <mergeCell ref="D18:E18"/>
    <mergeCell ref="D19:E19"/>
    <mergeCell ref="D20:E20"/>
    <mergeCell ref="D21:E21"/>
    <mergeCell ref="D22:E22"/>
    <mergeCell ref="D17:E17"/>
    <mergeCell ref="D34:E34"/>
    <mergeCell ref="D35:E35"/>
    <mergeCell ref="D24:E24"/>
    <mergeCell ref="D25:E25"/>
    <mergeCell ref="D26:E26"/>
    <mergeCell ref="D27:E27"/>
    <mergeCell ref="D28:E28"/>
    <mergeCell ref="D29:E29"/>
    <mergeCell ref="D30:E30"/>
    <mergeCell ref="D31:E31"/>
    <mergeCell ref="D32:E32"/>
    <mergeCell ref="D33:E33"/>
    <mergeCell ref="D11:E11"/>
    <mergeCell ref="D9:E9"/>
    <mergeCell ref="B4:F4"/>
    <mergeCell ref="D6:E6"/>
    <mergeCell ref="D7:E7"/>
    <mergeCell ref="D8:E8"/>
    <mergeCell ref="D10:E10"/>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Projection Setting</vt:lpstr>
      <vt:lpstr>Enrollment &amp; Staffing</vt:lpstr>
      <vt:lpstr>Expenditure</vt:lpstr>
      <vt:lpstr>Cost Drivers</vt:lpstr>
      <vt:lpstr>Results Summary</vt:lpstr>
      <vt:lpstr>Expenditure Data Entry</vt:lpstr>
      <vt:lpstr>Terms and Notes</vt:lpstr>
      <vt:lpstr>Methodology</vt:lpstr>
    </vt:vector>
  </TitlesOfParts>
  <Company>Research for Action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Lin</dc:creator>
  <cp:lastModifiedBy>Erik Dolson</cp:lastModifiedBy>
  <dcterms:created xsi:type="dcterms:W3CDTF">2016-09-13T13:59:32Z</dcterms:created>
  <dcterms:modified xsi:type="dcterms:W3CDTF">2017-09-12T12:51:00Z</dcterms:modified>
</cp:coreProperties>
</file>